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555" yWindow="0" windowWidth="15480" windowHeight="7935"/>
  </bookViews>
  <sheets>
    <sheet name="Agosto2017" sheetId="24" r:id="rId1"/>
  </sheets>
  <definedNames>
    <definedName name="_xlnm.Print_Area" localSheetId="0">Agosto2017!$A$1:$G$107</definedName>
  </definedNames>
  <calcPr calcId="125725"/>
</workbook>
</file>

<file path=xl/calcChain.xml><?xml version="1.0" encoding="utf-8"?>
<calcChain xmlns="http://schemas.openxmlformats.org/spreadsheetml/2006/main">
  <c r="B106" i="24"/>
  <c r="C106" s="1"/>
  <c r="B105"/>
  <c r="C105" s="1"/>
  <c r="B104"/>
  <c r="C104" s="1"/>
  <c r="B103"/>
  <c r="C103" s="1"/>
  <c r="B102"/>
  <c r="C102" s="1"/>
  <c r="B101"/>
  <c r="C101" s="1"/>
  <c r="B100"/>
  <c r="C100" s="1"/>
  <c r="B99"/>
  <c r="C99" s="1"/>
  <c r="B98"/>
  <c r="C98" s="1"/>
  <c r="B97"/>
  <c r="C97" s="1"/>
  <c r="B96"/>
  <c r="C96" s="1"/>
  <c r="B95"/>
  <c r="C95" s="1"/>
  <c r="B94"/>
  <c r="C94" s="1"/>
  <c r="B93"/>
  <c r="C93" s="1"/>
  <c r="B92"/>
  <c r="C92" s="1"/>
  <c r="B91"/>
  <c r="C91" s="1"/>
  <c r="B90"/>
  <c r="C90" s="1"/>
  <c r="B89"/>
  <c r="C89" s="1"/>
  <c r="B88"/>
  <c r="C88" s="1"/>
  <c r="B87"/>
  <c r="C87" s="1"/>
  <c r="B86"/>
  <c r="C86" s="1"/>
  <c r="B85"/>
  <c r="C85" s="1"/>
  <c r="B84"/>
  <c r="C84" s="1"/>
  <c r="B83"/>
  <c r="C83" s="1"/>
  <c r="B82"/>
  <c r="C82" s="1"/>
  <c r="B81"/>
  <c r="C81" s="1"/>
  <c r="B80"/>
  <c r="C80" s="1"/>
  <c r="B79"/>
  <c r="C79" s="1"/>
  <c r="B78"/>
  <c r="C78" s="1"/>
  <c r="B77"/>
  <c r="C77" s="1"/>
  <c r="B76"/>
  <c r="C76" s="1"/>
  <c r="B75"/>
  <c r="C75" s="1"/>
  <c r="B74"/>
  <c r="C74" s="1"/>
  <c r="B73"/>
  <c r="C73" s="1"/>
  <c r="B72"/>
  <c r="C72" s="1"/>
  <c r="B71"/>
  <c r="C71" s="1"/>
  <c r="B70"/>
  <c r="C70" s="1"/>
  <c r="B69"/>
  <c r="C69" s="1"/>
  <c r="B68"/>
  <c r="C68" s="1"/>
  <c r="B67"/>
  <c r="C67" s="1"/>
  <c r="B66"/>
  <c r="C66" s="1"/>
  <c r="B65"/>
  <c r="C65" s="1"/>
  <c r="B64"/>
  <c r="C64" s="1"/>
  <c r="B63"/>
  <c r="C63" s="1"/>
  <c r="B62"/>
  <c r="C62" s="1"/>
  <c r="B61"/>
  <c r="C61" s="1"/>
  <c r="B60"/>
  <c r="C60" s="1"/>
  <c r="B59"/>
  <c r="C59" s="1"/>
  <c r="B58"/>
  <c r="C58" s="1"/>
  <c r="B57"/>
  <c r="C57" s="1"/>
  <c r="B56"/>
  <c r="C56" s="1"/>
  <c r="B55"/>
  <c r="C55" s="1"/>
  <c r="B54"/>
  <c r="C54" s="1"/>
  <c r="B53"/>
  <c r="C53" s="1"/>
  <c r="B52"/>
  <c r="C52" s="1"/>
  <c r="B51"/>
  <c r="C51" s="1"/>
  <c r="B50"/>
  <c r="C50" s="1"/>
  <c r="B49"/>
  <c r="C49" s="1"/>
  <c r="B48"/>
  <c r="C48" s="1"/>
  <c r="B47"/>
  <c r="C47" s="1"/>
  <c r="B46"/>
  <c r="C46" s="1"/>
  <c r="B45"/>
  <c r="C45" s="1"/>
  <c r="B44"/>
  <c r="C44" s="1"/>
  <c r="B43"/>
  <c r="C43" s="1"/>
  <c r="B42"/>
  <c r="C42" s="1"/>
  <c r="B41"/>
  <c r="C41" s="1"/>
  <c r="B40"/>
  <c r="C40" s="1"/>
  <c r="B39"/>
  <c r="C39" s="1"/>
  <c r="B38"/>
  <c r="C38" s="1"/>
  <c r="B37"/>
  <c r="C37" s="1"/>
  <c r="B36"/>
  <c r="C36" s="1"/>
  <c r="B35"/>
  <c r="C35" s="1"/>
  <c r="B34"/>
  <c r="C34" s="1"/>
  <c r="B33"/>
  <c r="C33" s="1"/>
  <c r="B32"/>
  <c r="C32" s="1"/>
  <c r="B31"/>
  <c r="C31" s="1"/>
  <c r="B30"/>
  <c r="C30" s="1"/>
  <c r="B29"/>
  <c r="C29" s="1"/>
  <c r="B28"/>
  <c r="C28" s="1"/>
  <c r="B27"/>
  <c r="C27" s="1"/>
  <c r="B26"/>
  <c r="C26" s="1"/>
  <c r="B25"/>
  <c r="C25" s="1"/>
  <c r="B24"/>
  <c r="C24" s="1"/>
  <c r="B23"/>
  <c r="C23" s="1"/>
  <c r="B22"/>
  <c r="C22" s="1"/>
  <c r="B21"/>
  <c r="C21" s="1"/>
  <c r="B20"/>
  <c r="C20" s="1"/>
  <c r="B19"/>
  <c r="C19" s="1"/>
  <c r="B18"/>
  <c r="C18" s="1"/>
  <c r="B17"/>
  <c r="C17" s="1"/>
  <c r="B16"/>
  <c r="C16" s="1"/>
  <c r="B15"/>
  <c r="C15" s="1"/>
  <c r="B14"/>
  <c r="C14" s="1"/>
  <c r="B13"/>
  <c r="C13" s="1"/>
  <c r="B12"/>
  <c r="C12" s="1"/>
  <c r="B11"/>
  <c r="C11" s="1"/>
  <c r="B10"/>
  <c r="C10" s="1"/>
  <c r="B9"/>
  <c r="C9" s="1"/>
  <c r="B8"/>
  <c r="C8" s="1"/>
</calcChain>
</file>

<file path=xl/sharedStrings.xml><?xml version="1.0" encoding="utf-8"?>
<sst xmlns="http://schemas.openxmlformats.org/spreadsheetml/2006/main" count="311" uniqueCount="212">
  <si>
    <t>MUNICÍPIO DE SANTO ANTÔNIO DE PÁDUA</t>
  </si>
  <si>
    <t>ITEM</t>
  </si>
  <si>
    <t>UN.</t>
  </si>
  <si>
    <t>DESCRIÇÃO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</si>
  <si>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</si>
  <si>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</si>
  <si>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</si>
  <si>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</si>
  <si>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</si>
  <si>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</si>
  <si>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</si>
  <si>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</si>
  <si>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</si>
  <si>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</si>
  <si>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</si>
  <si>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</si>
  <si>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</si>
  <si>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</si>
  <si>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</si>
  <si>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</si>
  <si>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</si>
  <si>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</si>
  <si>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</si>
  <si>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</si>
  <si>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</si>
  <si>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</si>
  <si>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</si>
  <si>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</si>
  <si>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</si>
  <si>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</si>
  <si>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</si>
  <si>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</si>
  <si>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</si>
  <si>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</si>
  <si>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</si>
  <si>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</si>
  <si>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</si>
  <si>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</si>
  <si>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</si>
  <si>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</si>
  <si>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</si>
  <si>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</si>
  <si>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</si>
  <si>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</si>
  <si>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</si>
  <si>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</si>
  <si>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</si>
  <si>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</si>
  <si>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</si>
  <si>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</si>
  <si>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</si>
  <si>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</si>
  <si>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</si>
  <si>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</si>
  <si>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</si>
  <si>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</si>
  <si>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</si>
  <si>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</si>
  <si>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</si>
  <si>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</si>
  <si>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</si>
  <si>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</si>
  <si>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</si>
  <si>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</si>
  <si>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</si>
  <si>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066</t>
  </si>
  <si>
    <t>077</t>
  </si>
  <si>
    <t>084</t>
  </si>
  <si>
    <t>062</t>
  </si>
  <si>
    <t>063</t>
  </si>
  <si>
    <t>064</t>
  </si>
  <si>
    <t>065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</si>
  <si>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</si>
  <si>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</si>
  <si>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</si>
  <si>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</si>
  <si>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</si>
  <si>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</si>
  <si>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</si>
  <si>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</si>
  <si>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</si>
  <si>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</si>
  <si>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078</t>
  </si>
  <si>
    <t>079</t>
  </si>
  <si>
    <t>080</t>
  </si>
  <si>
    <t>081</t>
  </si>
  <si>
    <t>082</t>
  </si>
  <si>
    <t>083</t>
  </si>
  <si>
    <t>085</t>
  </si>
  <si>
    <t>086</t>
  </si>
  <si>
    <t>087</t>
  </si>
  <si>
    <t>088</t>
  </si>
  <si>
    <t>089</t>
  </si>
  <si>
    <t>090</t>
  </si>
  <si>
    <t>091</t>
  </si>
  <si>
    <t>Aduela  confeccionada em angelim pedra, medida2,10 x 0,60/0,70/0,80 x 0,13 x 0,03 (alt x larg X esp), com rebaixo 0,003, montada e lixada.</t>
  </si>
  <si>
    <t>Metro aduela confeccionada em Angelim pedra,medida 0,13 x 0,03, rebaixo de 0,003 lixada.</t>
  </si>
  <si>
    <t>Metro aduela confeccionada em Angelim pedra,medida 0,15 x 0,03, com rebaixo 0,003, lixada.</t>
  </si>
  <si>
    <t xml:space="preserve">Aduela confeccionada em angelim pedra, medida2,10 x 0,60/0, 70/0, 80 x 0, 15 x 0,03 (alt x larg x esp),com rebaixo 0,003, montada e lixada. </t>
  </si>
  <si>
    <t>Jogo alisar confeccionado em  angelim  pedra, medida p/ porta 2,10 x 1,00 x 0,05 x 0,01 ( jogo com 4 pçs de 2,20 m x 5 x 1 e 2 pcs de 1,00 x 5 x 1), lixado.</t>
  </si>
  <si>
    <t xml:space="preserve"> Jogo alisar angelim pedra, medida p/ porta 2,10 x 1,00 x 0,07 x 0,01 ( jogo com 4 pcs de 2,20 m x 0,07 x 0,01 e 2 pcs de 1,00 x 0,07 x 0,01), lixado.</t>
  </si>
  <si>
    <t>Jogo alisar angelim pedra, medida p/ janela 1,20 x 1,60 x 0,05 x 0,01 ( jogo com 4 pcs de 1,20 m x 0,05 x 0,01 e 4 pcs de 1,60 x 0,05 x 0,01), lixado..</t>
  </si>
  <si>
    <t>Metro linear de alisar em angelim pedra, medida 0,05 x 0,015, lixado.</t>
  </si>
  <si>
    <t>Janela reta, confeccionada angelim pedra, medida 1,10 x 0,80, com aduela de 0,13, e alisar de 0,05 x 0,01, montada e lixada.</t>
  </si>
  <si>
    <t>Janela reta,  confeccionada em angelim pedra, medida 1,10 x 1,00, com aduela de 0,13, e alisar 0,05 x 0,01, montada e lixada.</t>
  </si>
  <si>
    <t>Janela reta, confeccionada em  angelim pedra, medida 1,10 x 1,20, com aduela de 0,13, e alisar 0,05 x 0,01,montada e lixada.</t>
  </si>
  <si>
    <t>Janela reta, confeccionada em angelim pedra, medida 1,10 x 1,40, com aduela 0,13, e alisar 0,05 x 0,01, montada e lixada.</t>
  </si>
  <si>
    <t>Janela reta, confeccionada em angelim pedra, medida 1,10 x 1,50, com aduela 0,13, e alisar 0,05 x 0,01, montada e lixada.</t>
  </si>
  <si>
    <t>Basculante reto, confeccionado em  angelim pedra, medida 0,60 X 0,50, com aduela de 0,13, incluso alisar 0,05  x 0,01 e cordão de vidro, montado e lixado.</t>
  </si>
  <si>
    <t>Vitrô  reto, confeccionado em angelim pedra, medida 1,10 x 0, 40, com aduela de 0,13,incluso alisar 0,05 x 0,01 e cordão de vidro, montado e lixado.</t>
  </si>
  <si>
    <t>Porta reta, confeccionada em angelim pedra, medida 2,10 x 0.60 x 0.035 (alt. x larg. x esp.), modelo americana com 5 almofadas, maciça e lixada.</t>
  </si>
  <si>
    <t>Porta  reta, confeccionada em angelim pedra, medida 2,10 x 0.70 x 0.035 (alt. x larg. x esp.), modelo americana com 5 almofadas, maciça e lixada.</t>
  </si>
  <si>
    <t>Porta reta,confeccionada em angelim pedra, medida 2,10 x 0.80 x  0.035 (alt.x larg.x esp.), modelo americana com 5 almofadas, maciça e lixada.</t>
  </si>
  <si>
    <t>Porta reta,confeccionada em madeira mista, medida 2,10 x 0,60 x 0.035 (alt. x larg. x esp.),  modelo americana com 5 almofadas, maciça e lixada.</t>
  </si>
  <si>
    <t>Porta reta, confeccionada em madeira mista, medida 2,10 x 0.70 x 0.035 (alt. x larg. x esp.), modelo americana com 5 almofadas, maciça e lixada.</t>
  </si>
  <si>
    <t>Porta reta, confeccionada em madeira mista, medida 2,10 x 0.80 x  0.035 (alt. x larg. x esp.), modelo americana com 5 almofadas, maciça e lixada.</t>
  </si>
  <si>
    <t>Porta lisa para verniz, confeccionada em compensado de angelim pedra, medida 2,10 x 0,60 x 0,035 ( alt. x larg. x esp.), estrutura em madeira mista.</t>
  </si>
  <si>
    <t>Porta lisa para verniz,confeccionada  em compensado angelim pedra, medida 2,10 x 0,70 x 0,035 (alt. x larg. x esp.), estrutura em  madeira mista.</t>
  </si>
  <si>
    <t>Porta lisa para verniz, confeccionada em compensado angelim pedra, medida 2,10 x 0, 80 x  0,035 (alt. x larg. x esp.), estrutura em  madeira mista.</t>
  </si>
  <si>
    <t>Chapa de compensado, virola amescla, medidas 2,20 x 1,60 x 0,04.</t>
  </si>
  <si>
    <t>Chapa de compensado, virola amescla, medidas 2,20 x 1,60 x 0,06.</t>
  </si>
  <si>
    <t>Chapa de compensado, virola amescla, medidas 2,20 x 1,60 x 0,10.</t>
  </si>
  <si>
    <t>Chapa de compensado, virola amescla, medidas 2,20 x 1,60 x 0,15.</t>
  </si>
  <si>
    <t>Chapa de compensado, virola amescla, medidas 2,20 x 1,60 x 0,20.</t>
  </si>
  <si>
    <t>Chapa de compensado, cedro, medidas 2,20 x 1,60 x 0,04.</t>
  </si>
  <si>
    <t>Chapa de  compensado, cedro, medidas 2,20 x 1,60 x 0,10.</t>
  </si>
  <si>
    <t>Chapa de  compensado, cedro, medidas 2,20 x 1,60 x 0,15.</t>
  </si>
  <si>
    <t>Chapa de compensado, cedro, medidas 2,20 x 1,60 x 0,20.</t>
  </si>
  <si>
    <t xml:space="preserve">Chapa de duratex,  medidas 2,75 x 1,22 x 0,03. </t>
  </si>
  <si>
    <t xml:space="preserve"> Chapa de fórmica, branco texturizado, medidas 3,08 x 1,25 x 0,08.</t>
  </si>
  <si>
    <t xml:space="preserve"> Chapa de fórmica,  branco brilhante lisa, medidas 3,05 x 1,25 x 0,08.</t>
  </si>
  <si>
    <t xml:space="preserve">Chapa de MDF texturizado, uma face, branco, medidas 2,75 x 1,84 x 0,06. </t>
  </si>
  <si>
    <t xml:space="preserve">Chapa de MDF texturizado, duas faces, branco, medidas 2,75 x 1,84 x 0,15. </t>
  </si>
  <si>
    <t>Madeira tratada de eucalipto, medidas 2,20 x 0,08 a 0,10, garantia de 12 anos.</t>
  </si>
  <si>
    <t>Madeira tratada  de eucalipto, medidas 2,20 x 0,10 a 0,12, garantia de 12 anos.</t>
  </si>
  <si>
    <t>Madeira tratada de eucalipto, medidas 3,00 x 0,18 a 0,20, garantia de 12 anos.</t>
  </si>
  <si>
    <t>Madeira tratada de eucalipto, medidas  3,00 x 0,18 a 0,20, garantia de 12 anos.</t>
  </si>
  <si>
    <t>Madeira tratada de eucalipto, medidas 7,00 x 0,08 a 0,10, garantia de 12 anos.</t>
  </si>
  <si>
    <t xml:space="preserve">Escoramento de eucalipto, sem tratamento, medida de  6,00m de comprimento. </t>
  </si>
  <si>
    <t xml:space="preserve">Metro linear de régua de eucalipto, sem tratamento, medidas de  0,14 x 0,025. </t>
  </si>
  <si>
    <t>Metro linear de caibro, madeira  maçaranduba, medidas de 0,06 x 0,04.</t>
  </si>
  <si>
    <t>Metro linear de caibro, madeira  angelim amargoso, medidas 0,06 x 0,04.</t>
  </si>
  <si>
    <t>Metro linear de regua, madeira maçaranduba, medidas de  0,11 x 0,025.</t>
  </si>
  <si>
    <t>Metro linear de regua, madeira maçaranduba, medidas de  0,14 x 0,025.</t>
  </si>
  <si>
    <t>Metro linear de régua, madeira roxinho, medidas de  0,11 x 0,025.</t>
  </si>
  <si>
    <t xml:space="preserve">Metro linear de régua, madeira roxinho, medidas de  0,14 x 0,025. </t>
  </si>
  <si>
    <t>Metro linear de  ripa, madeira angelim amargoso, medidas de  0,05 x 0,015.</t>
  </si>
  <si>
    <t>Metro linear de ripa, madeira maçaranduba, medidas de  0,05 x 0,015.</t>
  </si>
  <si>
    <t>Metro linear de peça serrada, madeira maçaranduba, medidas de  0,07 x 0,06.</t>
  </si>
  <si>
    <t>Metro linear de  peça serrada, madeira maçaranduba, medidas de  0,11x 0,06.</t>
  </si>
  <si>
    <t>Metro linear de peça serrada, madeira maçaranduba, medidas de  0,14 x 0,06.</t>
  </si>
  <si>
    <t>Metro  linear de peça serrada, madeira maçaranduba, medidas de  0,22 x 0,06.</t>
  </si>
  <si>
    <t>Metro linear de peça serrada, madeira maçaranduba, medidas de  0,30 x 0,06.</t>
  </si>
  <si>
    <t>Metro linear de peça serrada, madeira de angelim amargoso, medidas de  0,07 x 0,06.</t>
  </si>
  <si>
    <t>Metro linear de peça serrada, madeira de angelim amargoso, medidas de  0,11 x 0,06.</t>
  </si>
  <si>
    <t xml:space="preserve">Metro linear de peça serrada, madeira de angelim amargoso, medidas de  0,14 x 0,06 </t>
  </si>
  <si>
    <t>Metro linear de peça serrada, madeira de angelim amargoso, medidas de  0,22 x 0,06.</t>
  </si>
  <si>
    <t>Metro linear de peça serrada, madeira de angelim amargoso, medidas de  0,30 x 0,06.</t>
  </si>
  <si>
    <t>Metro linear de peça serrada, madeira roxinho, medidas de  0,14 x 0,06.</t>
  </si>
  <si>
    <t>Metro linear de peça serrada, madeira roxinho, medidas de  0,11 x 0,06.</t>
  </si>
  <si>
    <t>Tábua de pinus, medidas de  3,00 x 0,10 x 0,02, com tratamento anti-mofo</t>
  </si>
  <si>
    <t>Tábua de pinus, medidas de 3,00 x 0,15 x 0,02, com tratamento anti-mofo.</t>
  </si>
  <si>
    <t>Tábua de pinus, medidas de  3,00 x 0,20 x 0,02,com tratamento anti-mofo.</t>
  </si>
  <si>
    <t>Tábua de pinus , medidas de 3,00 x 0,25 x 0,02, com tratamento anti-mofo.</t>
  </si>
  <si>
    <t>Tábua de pinus, medidas de 3,00 x 0,30 x 0,02,com tratamento anti-mofo.</t>
  </si>
  <si>
    <t>Tábua de pinus, medidas de 3,00 x 0,25 x 0,023, com tratamento anti-mofo.</t>
  </si>
  <si>
    <t>Tábua de pinus, medidas de 3,00 x 0,30 x 0,023, com tratamento anti-mofo.</t>
  </si>
  <si>
    <t>Telha de amianto ondulada, medidas de  2,44 x 0,50 x 0,04.</t>
  </si>
  <si>
    <t>Telha de amianto ondulada, medidas de  2,44 x 1,10 x 0,05.</t>
  </si>
  <si>
    <t>Telha de amianto ondulada, medidas de  3,05 x 1,10 x 0,06.</t>
  </si>
  <si>
    <t>Telha de amianto ondulada, medidas de 3,66 x 1,10 x 0,06.</t>
  </si>
  <si>
    <t>Trinco para janela 6cm cromado, material resistente  a corrosão.</t>
  </si>
  <si>
    <t>Trinco para janela 9cm cromado, material resistente a corrosão.</t>
  </si>
  <si>
    <t>Trinco para janela 12cm cromado, material resistente a corrosão.</t>
  </si>
  <si>
    <t>Trinco para janela 15cm cromado, material resistente a corrosão.</t>
  </si>
  <si>
    <t>Prego 10 x 10 com cabeça, galvanizado</t>
  </si>
  <si>
    <t>Prego 12 x 12 com cabeça, galvanizado</t>
  </si>
  <si>
    <t>Prego 12 x 12 sem cabeça, galvanizado</t>
  </si>
  <si>
    <t>Prego 15 x 15 com cabeça, galvanizado</t>
  </si>
  <si>
    <t>Prego 17 x 21 com cabeça, galvanizado</t>
  </si>
  <si>
    <t>Prego 17 x 27 com cabeça, galvanizado</t>
  </si>
  <si>
    <t>Prego 20 x 30 com cabeça, galvanizado</t>
  </si>
  <si>
    <t>Prego 22 x 48 com cabeça, galvanizado</t>
  </si>
  <si>
    <t>Dobradiça 3 x 3, sem anel, FLO, porta (cartela com três)</t>
  </si>
  <si>
    <t>Dobradiça 3 x 3, com anel, FLO, porta (cartela com três)</t>
  </si>
  <si>
    <t>Dobradiça 3 FLO palmela, janela (cartela com dois)</t>
  </si>
  <si>
    <t>Parafuso 3,5 x 22, fixer</t>
  </si>
  <si>
    <t>Parafuso 3,5 x 40, fixer</t>
  </si>
  <si>
    <t>MATERIAL PARA PEQUENOS REPAROS</t>
  </si>
  <si>
    <t>QUANT</t>
  </si>
  <si>
    <t>PREFEITURA MUNICIPAL DE SANTO ANTÔNIO DE PÁDUA</t>
  </si>
  <si>
    <t>ESTADO DO RIO DE JANEIRO</t>
  </si>
  <si>
    <t>Fechadura  para porta externa, oxi, distância de broca 40mm, resistência a corrosão.</t>
  </si>
  <si>
    <t>Fechadura para porta interna, oxi, distância de broca 40mm, resistência a corrosão.</t>
  </si>
  <si>
    <t>Fechadura para porta wc, oxi, distância de broca 40mm, resistência a corrosão.</t>
  </si>
  <si>
    <t>Fechadura para porta externa, cromada, distância de broca 40mm, resistência a corrosão.</t>
  </si>
  <si>
    <t>Fechadura para porta interna, cromada, distância de broca 40mm, resistência a corrosão.</t>
  </si>
  <si>
    <t>Fechadura para porta wc, cromada, distância de broca 40mm, resistência a corrosão.</t>
  </si>
  <si>
    <t>092</t>
  </si>
  <si>
    <t>093</t>
  </si>
  <si>
    <t>094</t>
  </si>
  <si>
    <t>095</t>
  </si>
  <si>
    <t>096</t>
  </si>
  <si>
    <t>097</t>
  </si>
  <si>
    <t>098</t>
  </si>
  <si>
    <t>099</t>
  </si>
  <si>
    <t>MÉDIA</t>
  </si>
  <si>
    <t>TOTAL</t>
  </si>
  <si>
    <t>UNIT.</t>
  </si>
  <si>
    <t>KL</t>
  </si>
  <si>
    <t>QUANTIDADE MÍNIMA A SER ADQUIRIDA (SUPERIOR A 5%)</t>
  </si>
  <si>
    <t>APÊNDICE I AO TERMO DE REFERENCIA</t>
  </si>
</sst>
</file>

<file path=xl/styles.xml><?xml version="1.0" encoding="utf-8"?>
<styleSheet xmlns="http://schemas.openxmlformats.org/spreadsheetml/2006/main">
  <numFmts count="3">
    <numFmt numFmtId="164" formatCode="0;[Red]0"/>
    <numFmt numFmtId="165" formatCode="&quot;R$&quot;\ #,##0.00"/>
    <numFmt numFmtId="166" formatCode="#,##0.00;[Red]#,##0.00"/>
  </numFmts>
  <fonts count="10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2" borderId="0" xfId="0" applyFont="1" applyFill="1" applyAlignment="1">
      <alignment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 shrinkToFit="1"/>
    </xf>
    <xf numFmtId="49" fontId="3" fillId="2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638425</xdr:colOff>
      <xdr:row>0</xdr:row>
      <xdr:rowOff>0</xdr:rowOff>
    </xdr:from>
    <xdr:to>
      <xdr:col>1</xdr:col>
      <xdr:colOff>639545</xdr:colOff>
      <xdr:row>4</xdr:row>
      <xdr:rowOff>193392</xdr:rowOff>
    </xdr:to>
    <xdr:pic>
      <xdr:nvPicPr>
        <xdr:cNvPr id="3" name="Imagem 2" descr="brasãopadua-215x3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4008" y="287620"/>
          <a:ext cx="944095" cy="122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07"/>
  <sheetViews>
    <sheetView tabSelected="1" view="pageBreakPreview" zoomScale="85" zoomScaleNormal="90" zoomScaleSheetLayoutView="85" workbookViewId="0">
      <selection activeCell="V9" sqref="V9"/>
    </sheetView>
  </sheetViews>
  <sheetFormatPr defaultRowHeight="64.5" customHeight="1"/>
  <cols>
    <col min="1" max="1" width="9.7109375" style="3" customWidth="1"/>
    <col min="2" max="2" width="10.140625" style="4" bestFit="1" customWidth="1"/>
    <col min="3" max="3" width="19.140625" style="4" customWidth="1"/>
    <col min="4" max="4" width="10.28515625" style="3" customWidth="1"/>
    <col min="5" max="5" width="56.140625" style="3" customWidth="1"/>
    <col min="6" max="6" width="15.5703125" style="3" bestFit="1" customWidth="1"/>
    <col min="7" max="7" width="19.7109375" style="3" bestFit="1" customWidth="1"/>
    <col min="8" max="16384" width="9.140625" style="3"/>
  </cols>
  <sheetData>
    <row r="1" spans="1:9" ht="20.25">
      <c r="A1" s="16" t="s">
        <v>0</v>
      </c>
      <c r="B1" s="16"/>
      <c r="C1" s="16"/>
      <c r="D1" s="16"/>
      <c r="E1" s="16"/>
      <c r="F1" s="16"/>
      <c r="G1" s="16"/>
    </row>
    <row r="2" spans="1:9" ht="20.25">
      <c r="A2" s="15" t="s">
        <v>190</v>
      </c>
      <c r="B2" s="15"/>
      <c r="C2" s="15"/>
      <c r="D2" s="15"/>
      <c r="E2" s="15"/>
      <c r="F2" s="15"/>
      <c r="G2" s="15"/>
    </row>
    <row r="3" spans="1:9" ht="20.25">
      <c r="A3" s="15" t="s">
        <v>191</v>
      </c>
      <c r="B3" s="15"/>
      <c r="C3" s="15"/>
      <c r="D3" s="15"/>
      <c r="E3" s="15"/>
      <c r="F3" s="15"/>
      <c r="G3" s="15"/>
      <c r="H3" s="1"/>
      <c r="I3" s="1"/>
    </row>
    <row r="4" spans="1:9" ht="20.25">
      <c r="A4" s="14" t="s">
        <v>211</v>
      </c>
      <c r="B4" s="14"/>
      <c r="C4" s="14"/>
      <c r="D4" s="14"/>
      <c r="E4" s="14"/>
      <c r="F4" s="14"/>
      <c r="G4" s="14"/>
    </row>
    <row r="5" spans="1:9" ht="20.25">
      <c r="A5" s="22" t="s">
        <v>188</v>
      </c>
      <c r="B5" s="22"/>
      <c r="C5" s="22"/>
      <c r="D5" s="22"/>
      <c r="E5" s="22"/>
      <c r="F5" s="22"/>
      <c r="G5" s="22"/>
    </row>
    <row r="6" spans="1:9" ht="64.5" customHeight="1">
      <c r="A6" s="20" t="s">
        <v>1</v>
      </c>
      <c r="B6" s="20" t="s">
        <v>189</v>
      </c>
      <c r="C6" s="21" t="s">
        <v>210</v>
      </c>
      <c r="D6" s="20" t="s">
        <v>2</v>
      </c>
      <c r="E6" s="20" t="s">
        <v>3</v>
      </c>
      <c r="F6" s="18" t="s">
        <v>206</v>
      </c>
      <c r="G6" s="18"/>
    </row>
    <row r="7" spans="1:9" ht="64.5" customHeight="1">
      <c r="A7" s="20"/>
      <c r="B7" s="20"/>
      <c r="C7" s="21"/>
      <c r="D7" s="20"/>
      <c r="E7" s="20"/>
      <c r="F7" s="2" t="s">
        <v>208</v>
      </c>
      <c r="G7" s="2" t="s">
        <v>207</v>
      </c>
    </row>
    <row r="8" spans="1:9" ht="64.5" customHeight="1">
      <c r="A8" s="5" t="s">
        <v>4</v>
      </c>
      <c r="B8" s="6">
        <f>20+12+6+10</f>
        <v>48</v>
      </c>
      <c r="C8" s="7">
        <f>ROUNDUP((0.05*B8),0)</f>
        <v>3</v>
      </c>
      <c r="D8" s="8" t="s">
        <v>2</v>
      </c>
      <c r="E8" s="9" t="s">
        <v>95</v>
      </c>
      <c r="F8" s="10">
        <v>119.07</v>
      </c>
      <c r="G8" s="10">
        <v>5715.36</v>
      </c>
    </row>
    <row r="9" spans="1:9" ht="64.5" customHeight="1">
      <c r="A9" s="5" t="s">
        <v>5</v>
      </c>
      <c r="B9" s="6">
        <f>36+35+0+5</f>
        <v>76</v>
      </c>
      <c r="C9" s="7">
        <f t="shared" ref="C9:C72" si="0">ROUNDUP((0.05*B9),0)</f>
        <v>4</v>
      </c>
      <c r="D9" s="8" t="s">
        <v>2</v>
      </c>
      <c r="E9" s="9" t="s">
        <v>96</v>
      </c>
      <c r="F9" s="10">
        <v>38.53</v>
      </c>
      <c r="G9" s="10">
        <v>2928.28</v>
      </c>
    </row>
    <row r="10" spans="1:9" ht="64.5" customHeight="1">
      <c r="A10" s="5" t="s">
        <v>6</v>
      </c>
      <c r="B10" s="6">
        <f>20+36+5</f>
        <v>61</v>
      </c>
      <c r="C10" s="7">
        <f t="shared" si="0"/>
        <v>4</v>
      </c>
      <c r="D10" s="8" t="s">
        <v>2</v>
      </c>
      <c r="E10" s="9" t="s">
        <v>97</v>
      </c>
      <c r="F10" s="10">
        <v>44.1</v>
      </c>
      <c r="G10" s="10">
        <v>2690.1</v>
      </c>
    </row>
    <row r="11" spans="1:9" ht="64.5" customHeight="1">
      <c r="A11" s="5" t="s">
        <v>7</v>
      </c>
      <c r="B11" s="6">
        <f>25+12+5</f>
        <v>42</v>
      </c>
      <c r="C11" s="7">
        <f t="shared" si="0"/>
        <v>3</v>
      </c>
      <c r="D11" s="8" t="s">
        <v>2</v>
      </c>
      <c r="E11" s="9" t="s">
        <v>98</v>
      </c>
      <c r="F11" s="10">
        <v>141.66999999999999</v>
      </c>
      <c r="G11" s="10">
        <v>5950.1399999999994</v>
      </c>
    </row>
    <row r="12" spans="1:9" ht="64.5" customHeight="1">
      <c r="A12" s="5" t="s">
        <v>8</v>
      </c>
      <c r="B12" s="6">
        <f>25+24+12+10</f>
        <v>71</v>
      </c>
      <c r="C12" s="7">
        <f t="shared" si="0"/>
        <v>4</v>
      </c>
      <c r="D12" s="8" t="s">
        <v>2</v>
      </c>
      <c r="E12" s="9" t="s">
        <v>99</v>
      </c>
      <c r="F12" s="10">
        <v>50.33</v>
      </c>
      <c r="G12" s="10">
        <v>3573.43</v>
      </c>
    </row>
    <row r="13" spans="1:9" ht="64.5" customHeight="1">
      <c r="A13" s="5" t="s">
        <v>9</v>
      </c>
      <c r="B13" s="6">
        <f>20+24+10</f>
        <v>54</v>
      </c>
      <c r="C13" s="7">
        <f t="shared" si="0"/>
        <v>3</v>
      </c>
      <c r="D13" s="8" t="s">
        <v>2</v>
      </c>
      <c r="E13" s="9" t="s">
        <v>100</v>
      </c>
      <c r="F13" s="10">
        <v>64.430000000000007</v>
      </c>
      <c r="G13" s="10">
        <v>3479.2200000000003</v>
      </c>
    </row>
    <row r="14" spans="1:9" ht="64.5" customHeight="1">
      <c r="A14" s="5" t="s">
        <v>10</v>
      </c>
      <c r="B14" s="6">
        <f>25+24+10</f>
        <v>59</v>
      </c>
      <c r="C14" s="7">
        <f t="shared" si="0"/>
        <v>3</v>
      </c>
      <c r="D14" s="8" t="s">
        <v>2</v>
      </c>
      <c r="E14" s="9" t="s">
        <v>101</v>
      </c>
      <c r="F14" s="10">
        <v>56.73</v>
      </c>
      <c r="G14" s="10">
        <v>3347.0699999999997</v>
      </c>
    </row>
    <row r="15" spans="1:9" ht="64.5" customHeight="1">
      <c r="A15" s="5" t="s">
        <v>11</v>
      </c>
      <c r="B15" s="6">
        <f>80+24+10</f>
        <v>114</v>
      </c>
      <c r="C15" s="7">
        <f t="shared" si="0"/>
        <v>6</v>
      </c>
      <c r="D15" s="8" t="s">
        <v>2</v>
      </c>
      <c r="E15" s="9" t="s">
        <v>102</v>
      </c>
      <c r="F15" s="10">
        <v>9.3699999999999992</v>
      </c>
      <c r="G15" s="10">
        <v>1068.1799999999998</v>
      </c>
    </row>
    <row r="16" spans="1:9" ht="64.5" customHeight="1">
      <c r="A16" s="5" t="s">
        <v>12</v>
      </c>
      <c r="B16" s="6">
        <f>10+10+5+10</f>
        <v>35</v>
      </c>
      <c r="C16" s="7">
        <f t="shared" si="0"/>
        <v>2</v>
      </c>
      <c r="D16" s="8" t="s">
        <v>2</v>
      </c>
      <c r="E16" s="9" t="s">
        <v>103</v>
      </c>
      <c r="F16" s="10">
        <v>483.33</v>
      </c>
      <c r="G16" s="10">
        <v>16916.55</v>
      </c>
    </row>
    <row r="17" spans="1:7" ht="64.5" customHeight="1">
      <c r="A17" s="5" t="s">
        <v>13</v>
      </c>
      <c r="B17" s="6">
        <f>10+12+5+5</f>
        <v>32</v>
      </c>
      <c r="C17" s="7">
        <f t="shared" si="0"/>
        <v>2</v>
      </c>
      <c r="D17" s="8" t="s">
        <v>2</v>
      </c>
      <c r="E17" s="9" t="s">
        <v>104</v>
      </c>
      <c r="F17" s="10">
        <v>546.53</v>
      </c>
      <c r="G17" s="10">
        <v>17488.96</v>
      </c>
    </row>
    <row r="18" spans="1:7" ht="64.5" customHeight="1">
      <c r="A18" s="5" t="s">
        <v>14</v>
      </c>
      <c r="B18" s="6">
        <f>6+8+5+5</f>
        <v>24</v>
      </c>
      <c r="C18" s="7">
        <f t="shared" si="0"/>
        <v>2</v>
      </c>
      <c r="D18" s="8" t="s">
        <v>2</v>
      </c>
      <c r="E18" s="9" t="s">
        <v>105</v>
      </c>
      <c r="F18" s="10">
        <v>591.97</v>
      </c>
      <c r="G18" s="10">
        <v>14207.28</v>
      </c>
    </row>
    <row r="19" spans="1:7" ht="64.5" customHeight="1">
      <c r="A19" s="5" t="s">
        <v>15</v>
      </c>
      <c r="B19" s="6">
        <f>5+6+5+5</f>
        <v>21</v>
      </c>
      <c r="C19" s="7">
        <f t="shared" si="0"/>
        <v>2</v>
      </c>
      <c r="D19" s="8" t="s">
        <v>2</v>
      </c>
      <c r="E19" s="9" t="s">
        <v>106</v>
      </c>
      <c r="F19" s="10">
        <v>666</v>
      </c>
      <c r="G19" s="10">
        <v>13986</v>
      </c>
    </row>
    <row r="20" spans="1:7" ht="64.5" customHeight="1">
      <c r="A20" s="5" t="s">
        <v>16</v>
      </c>
      <c r="B20" s="6">
        <f>5+8+5+5</f>
        <v>23</v>
      </c>
      <c r="C20" s="7">
        <f t="shared" si="0"/>
        <v>2</v>
      </c>
      <c r="D20" s="8" t="s">
        <v>2</v>
      </c>
      <c r="E20" s="9" t="s">
        <v>107</v>
      </c>
      <c r="F20" s="10">
        <v>739.2</v>
      </c>
      <c r="G20" s="10">
        <v>17001.600000000002</v>
      </c>
    </row>
    <row r="21" spans="1:7" ht="64.5" customHeight="1">
      <c r="A21" s="5" t="s">
        <v>17</v>
      </c>
      <c r="B21" s="6">
        <f>10+6+5+5</f>
        <v>26</v>
      </c>
      <c r="C21" s="7">
        <f t="shared" si="0"/>
        <v>2</v>
      </c>
      <c r="D21" s="8" t="s">
        <v>2</v>
      </c>
      <c r="E21" s="9" t="s">
        <v>108</v>
      </c>
      <c r="F21" s="10">
        <v>260.33</v>
      </c>
      <c r="G21" s="10">
        <v>6768.58</v>
      </c>
    </row>
    <row r="22" spans="1:7" ht="64.5" customHeight="1">
      <c r="A22" s="5" t="s">
        <v>18</v>
      </c>
      <c r="B22" s="6">
        <f>8+8+5+5</f>
        <v>26</v>
      </c>
      <c r="C22" s="7">
        <f t="shared" si="0"/>
        <v>2</v>
      </c>
      <c r="D22" s="8" t="s">
        <v>2</v>
      </c>
      <c r="E22" s="9" t="s">
        <v>109</v>
      </c>
      <c r="F22" s="10">
        <v>325.52999999999997</v>
      </c>
      <c r="G22" s="10">
        <v>8463.7799999999988</v>
      </c>
    </row>
    <row r="23" spans="1:7" ht="64.5" customHeight="1">
      <c r="A23" s="5" t="s">
        <v>19</v>
      </c>
      <c r="B23" s="6">
        <f>5+12+2+5</f>
        <v>24</v>
      </c>
      <c r="C23" s="7">
        <f t="shared" si="0"/>
        <v>2</v>
      </c>
      <c r="D23" s="8" t="s">
        <v>2</v>
      </c>
      <c r="E23" s="9" t="s">
        <v>110</v>
      </c>
      <c r="F23" s="10">
        <v>512.47</v>
      </c>
      <c r="G23" s="10">
        <v>12299.28</v>
      </c>
    </row>
    <row r="24" spans="1:7" ht="64.5" customHeight="1">
      <c r="A24" s="5" t="s">
        <v>20</v>
      </c>
      <c r="B24" s="6">
        <f>5+10+2+5</f>
        <v>22</v>
      </c>
      <c r="C24" s="7">
        <f t="shared" si="0"/>
        <v>2</v>
      </c>
      <c r="D24" s="8" t="s">
        <v>2</v>
      </c>
      <c r="E24" s="9" t="s">
        <v>111</v>
      </c>
      <c r="F24" s="10">
        <v>549.33000000000004</v>
      </c>
      <c r="G24" s="10">
        <v>12085.26</v>
      </c>
    </row>
    <row r="25" spans="1:7" ht="64.5" customHeight="1">
      <c r="A25" s="5" t="s">
        <v>21</v>
      </c>
      <c r="B25" s="6">
        <f>15+8+2+5</f>
        <v>30</v>
      </c>
      <c r="C25" s="7">
        <f t="shared" si="0"/>
        <v>2</v>
      </c>
      <c r="D25" s="8" t="s">
        <v>2</v>
      </c>
      <c r="E25" s="9" t="s">
        <v>112</v>
      </c>
      <c r="F25" s="10">
        <v>595.20000000000005</v>
      </c>
      <c r="G25" s="10">
        <v>17856</v>
      </c>
    </row>
    <row r="26" spans="1:7" ht="64.5" customHeight="1">
      <c r="A26" s="5" t="s">
        <v>22</v>
      </c>
      <c r="B26" s="6">
        <f>5+12+2+5</f>
        <v>24</v>
      </c>
      <c r="C26" s="7">
        <f t="shared" si="0"/>
        <v>2</v>
      </c>
      <c r="D26" s="8" t="s">
        <v>2</v>
      </c>
      <c r="E26" s="9" t="s">
        <v>113</v>
      </c>
      <c r="F26" s="10">
        <v>333.67</v>
      </c>
      <c r="G26" s="10">
        <v>8008.08</v>
      </c>
    </row>
    <row r="27" spans="1:7" ht="64.5" customHeight="1">
      <c r="A27" s="5" t="s">
        <v>23</v>
      </c>
      <c r="B27" s="6">
        <f>5+10+25</f>
        <v>40</v>
      </c>
      <c r="C27" s="7">
        <f t="shared" si="0"/>
        <v>2</v>
      </c>
      <c r="D27" s="8" t="s">
        <v>2</v>
      </c>
      <c r="E27" s="9" t="s">
        <v>114</v>
      </c>
      <c r="F27" s="10">
        <v>334.33</v>
      </c>
      <c r="G27" s="10">
        <v>13373.199999999999</v>
      </c>
    </row>
    <row r="28" spans="1:7" ht="64.5" customHeight="1">
      <c r="A28" s="5" t="s">
        <v>24</v>
      </c>
      <c r="B28" s="6">
        <f>15+8+2+5</f>
        <v>30</v>
      </c>
      <c r="C28" s="7">
        <f t="shared" si="0"/>
        <v>2</v>
      </c>
      <c r="D28" s="8" t="s">
        <v>2</v>
      </c>
      <c r="E28" s="9" t="s">
        <v>115</v>
      </c>
      <c r="F28" s="10">
        <v>335</v>
      </c>
      <c r="G28" s="10">
        <v>10050</v>
      </c>
    </row>
    <row r="29" spans="1:7" ht="64.5" customHeight="1">
      <c r="A29" s="5" t="s">
        <v>25</v>
      </c>
      <c r="B29" s="6">
        <f>5+6+2+5</f>
        <v>18</v>
      </c>
      <c r="C29" s="7">
        <f t="shared" si="0"/>
        <v>1</v>
      </c>
      <c r="D29" s="8" t="s">
        <v>2</v>
      </c>
      <c r="E29" s="9" t="s">
        <v>116</v>
      </c>
      <c r="F29" s="10">
        <v>143.33000000000001</v>
      </c>
      <c r="G29" s="10">
        <v>2579.94</v>
      </c>
    </row>
    <row r="30" spans="1:7" ht="64.5" customHeight="1">
      <c r="A30" s="5" t="s">
        <v>26</v>
      </c>
      <c r="B30" s="11">
        <f>5+8+2+5</f>
        <v>20</v>
      </c>
      <c r="C30" s="7">
        <f t="shared" si="0"/>
        <v>1</v>
      </c>
      <c r="D30" s="8" t="s">
        <v>2</v>
      </c>
      <c r="E30" s="12" t="s">
        <v>117</v>
      </c>
      <c r="F30" s="10">
        <v>143.33000000000001</v>
      </c>
      <c r="G30" s="10">
        <v>2866.6000000000004</v>
      </c>
    </row>
    <row r="31" spans="1:7" ht="64.5" customHeight="1">
      <c r="A31" s="5" t="s">
        <v>27</v>
      </c>
      <c r="B31" s="11">
        <f>10+6+2+5</f>
        <v>23</v>
      </c>
      <c r="C31" s="7">
        <f t="shared" si="0"/>
        <v>2</v>
      </c>
      <c r="D31" s="8" t="s">
        <v>2</v>
      </c>
      <c r="E31" s="12" t="s">
        <v>118</v>
      </c>
      <c r="F31" s="10">
        <v>143.33000000000001</v>
      </c>
      <c r="G31" s="10">
        <v>3296.59</v>
      </c>
    </row>
    <row r="32" spans="1:7" ht="64.5" customHeight="1">
      <c r="A32" s="5" t="s">
        <v>28</v>
      </c>
      <c r="B32" s="11">
        <f>20+12+10+4</f>
        <v>46</v>
      </c>
      <c r="C32" s="7">
        <f t="shared" si="0"/>
        <v>3</v>
      </c>
      <c r="D32" s="8" t="s">
        <v>2</v>
      </c>
      <c r="E32" s="12" t="s">
        <v>119</v>
      </c>
      <c r="F32" s="10">
        <v>72.73</v>
      </c>
      <c r="G32" s="10">
        <v>3345.5800000000004</v>
      </c>
    </row>
    <row r="33" spans="1:7" ht="64.5" customHeight="1">
      <c r="A33" s="5" t="s">
        <v>29</v>
      </c>
      <c r="B33" s="11">
        <f>5+10+10+4</f>
        <v>29</v>
      </c>
      <c r="C33" s="7">
        <f t="shared" si="0"/>
        <v>2</v>
      </c>
      <c r="D33" s="8" t="s">
        <v>2</v>
      </c>
      <c r="E33" s="12" t="s">
        <v>120</v>
      </c>
      <c r="F33" s="10">
        <v>77.2</v>
      </c>
      <c r="G33" s="10">
        <v>2238.8000000000002</v>
      </c>
    </row>
    <row r="34" spans="1:7" ht="64.5" customHeight="1">
      <c r="A34" s="5" t="s">
        <v>30</v>
      </c>
      <c r="B34" s="11">
        <f>8+8+10+4</f>
        <v>30</v>
      </c>
      <c r="C34" s="7">
        <f t="shared" si="0"/>
        <v>2</v>
      </c>
      <c r="D34" s="8" t="s">
        <v>2</v>
      </c>
      <c r="E34" s="12" t="s">
        <v>121</v>
      </c>
      <c r="F34" s="10">
        <v>135.77000000000001</v>
      </c>
      <c r="G34" s="10">
        <v>4073.1000000000004</v>
      </c>
    </row>
    <row r="35" spans="1:7" ht="64.5" customHeight="1">
      <c r="A35" s="5" t="s">
        <v>31</v>
      </c>
      <c r="B35" s="11">
        <f>8+10+10+4</f>
        <v>32</v>
      </c>
      <c r="C35" s="7">
        <f t="shared" si="0"/>
        <v>2</v>
      </c>
      <c r="D35" s="8" t="s">
        <v>2</v>
      </c>
      <c r="E35" s="12" t="s">
        <v>122</v>
      </c>
      <c r="F35" s="10">
        <v>165.93</v>
      </c>
      <c r="G35" s="10">
        <v>5309.76</v>
      </c>
    </row>
    <row r="36" spans="1:7" ht="64.5" customHeight="1">
      <c r="A36" s="5" t="s">
        <v>32</v>
      </c>
      <c r="B36" s="6">
        <f>10+10+10+4</f>
        <v>34</v>
      </c>
      <c r="C36" s="7">
        <f t="shared" si="0"/>
        <v>2</v>
      </c>
      <c r="D36" s="8" t="s">
        <v>2</v>
      </c>
      <c r="E36" s="9" t="s">
        <v>123</v>
      </c>
      <c r="F36" s="10">
        <v>226.5</v>
      </c>
      <c r="G36" s="10">
        <v>7701</v>
      </c>
    </row>
    <row r="37" spans="1:7" ht="64.5" customHeight="1">
      <c r="A37" s="5" t="s">
        <v>33</v>
      </c>
      <c r="B37" s="6">
        <f>15+12+10+4</f>
        <v>41</v>
      </c>
      <c r="C37" s="7">
        <f t="shared" si="0"/>
        <v>3</v>
      </c>
      <c r="D37" s="8" t="s">
        <v>2</v>
      </c>
      <c r="E37" s="9" t="s">
        <v>124</v>
      </c>
      <c r="F37" s="10">
        <v>146</v>
      </c>
      <c r="G37" s="10">
        <v>5986</v>
      </c>
    </row>
    <row r="38" spans="1:7" ht="64.5" customHeight="1">
      <c r="A38" s="5" t="s">
        <v>34</v>
      </c>
      <c r="B38" s="6">
        <f>6+10+10+4</f>
        <v>30</v>
      </c>
      <c r="C38" s="7">
        <f t="shared" si="0"/>
        <v>2</v>
      </c>
      <c r="D38" s="8" t="s">
        <v>2</v>
      </c>
      <c r="E38" s="9" t="s">
        <v>125</v>
      </c>
      <c r="F38" s="10">
        <v>244</v>
      </c>
      <c r="G38" s="10">
        <v>7320</v>
      </c>
    </row>
    <row r="39" spans="1:7" ht="64.5" customHeight="1">
      <c r="A39" s="5" t="s">
        <v>35</v>
      </c>
      <c r="B39" s="6">
        <f>10+12+10+4</f>
        <v>36</v>
      </c>
      <c r="C39" s="7">
        <f t="shared" si="0"/>
        <v>2</v>
      </c>
      <c r="D39" s="8" t="s">
        <v>2</v>
      </c>
      <c r="E39" s="9" t="s">
        <v>126</v>
      </c>
      <c r="F39" s="10">
        <v>316.33</v>
      </c>
      <c r="G39" s="10">
        <v>11387.88</v>
      </c>
    </row>
    <row r="40" spans="1:7" ht="64.5" customHeight="1">
      <c r="A40" s="5" t="s">
        <v>36</v>
      </c>
      <c r="B40" s="6">
        <f>15+10+10+4</f>
        <v>39</v>
      </c>
      <c r="C40" s="7">
        <f t="shared" si="0"/>
        <v>2</v>
      </c>
      <c r="D40" s="8" t="s">
        <v>2</v>
      </c>
      <c r="E40" s="9" t="s">
        <v>127</v>
      </c>
      <c r="F40" s="10">
        <v>404.27</v>
      </c>
      <c r="G40" s="10">
        <v>15766.529999999999</v>
      </c>
    </row>
    <row r="41" spans="1:7" ht="64.5" customHeight="1">
      <c r="A41" s="5" t="s">
        <v>37</v>
      </c>
      <c r="B41" s="6">
        <f>10+10+10+4</f>
        <v>34</v>
      </c>
      <c r="C41" s="7">
        <f t="shared" si="0"/>
        <v>2</v>
      </c>
      <c r="D41" s="8" t="s">
        <v>2</v>
      </c>
      <c r="E41" s="9" t="s">
        <v>128</v>
      </c>
      <c r="F41" s="10">
        <v>76.33</v>
      </c>
      <c r="G41" s="10">
        <v>2595.2199999999998</v>
      </c>
    </row>
    <row r="42" spans="1:7" ht="64.5" customHeight="1">
      <c r="A42" s="5" t="s">
        <v>38</v>
      </c>
      <c r="B42" s="6">
        <f t="shared" ref="B42:B43" si="1">10+12+4</f>
        <v>26</v>
      </c>
      <c r="C42" s="7">
        <f t="shared" si="0"/>
        <v>2</v>
      </c>
      <c r="D42" s="8" t="s">
        <v>2</v>
      </c>
      <c r="E42" s="9" t="s">
        <v>129</v>
      </c>
      <c r="F42" s="10">
        <v>153.33000000000001</v>
      </c>
      <c r="G42" s="10">
        <v>3986.5800000000004</v>
      </c>
    </row>
    <row r="43" spans="1:7" ht="64.5" customHeight="1">
      <c r="A43" s="5" t="s">
        <v>39</v>
      </c>
      <c r="B43" s="6">
        <f t="shared" si="1"/>
        <v>26</v>
      </c>
      <c r="C43" s="7">
        <f t="shared" si="0"/>
        <v>2</v>
      </c>
      <c r="D43" s="8" t="s">
        <v>2</v>
      </c>
      <c r="E43" s="9" t="s">
        <v>130</v>
      </c>
      <c r="F43" s="10">
        <v>153.33000000000001</v>
      </c>
      <c r="G43" s="10">
        <v>3986.5800000000004</v>
      </c>
    </row>
    <row r="44" spans="1:7" ht="64.5" customHeight="1">
      <c r="A44" s="5" t="s">
        <v>40</v>
      </c>
      <c r="B44" s="6">
        <f>12+12+4</f>
        <v>28</v>
      </c>
      <c r="C44" s="7">
        <f t="shared" si="0"/>
        <v>2</v>
      </c>
      <c r="D44" s="8" t="s">
        <v>2</v>
      </c>
      <c r="E44" s="9" t="s">
        <v>131</v>
      </c>
      <c r="F44" s="10">
        <v>202.67</v>
      </c>
      <c r="G44" s="10">
        <v>5674.7599999999993</v>
      </c>
    </row>
    <row r="45" spans="1:7" ht="64.5" customHeight="1">
      <c r="A45" s="5" t="s">
        <v>41</v>
      </c>
      <c r="B45" s="6">
        <f>12+10+30+4</f>
        <v>56</v>
      </c>
      <c r="C45" s="7">
        <f t="shared" si="0"/>
        <v>3</v>
      </c>
      <c r="D45" s="8" t="s">
        <v>2</v>
      </c>
      <c r="E45" s="9" t="s">
        <v>132</v>
      </c>
      <c r="F45" s="10">
        <v>286.33</v>
      </c>
      <c r="G45" s="10">
        <v>16034.48</v>
      </c>
    </row>
    <row r="46" spans="1:7" ht="64.5" customHeight="1">
      <c r="A46" s="5" t="s">
        <v>42</v>
      </c>
      <c r="B46" s="6">
        <f>8+48+50+5</f>
        <v>111</v>
      </c>
      <c r="C46" s="7">
        <f t="shared" si="0"/>
        <v>6</v>
      </c>
      <c r="D46" s="8" t="s">
        <v>2</v>
      </c>
      <c r="E46" s="9" t="s">
        <v>133</v>
      </c>
      <c r="F46" s="10">
        <v>16.079999999999998</v>
      </c>
      <c r="G46" s="10">
        <v>1784.8799999999999</v>
      </c>
    </row>
    <row r="47" spans="1:7" ht="64.5" customHeight="1">
      <c r="A47" s="5" t="s">
        <v>43</v>
      </c>
      <c r="B47" s="6">
        <f>8+64+50+5</f>
        <v>127</v>
      </c>
      <c r="C47" s="7">
        <f t="shared" si="0"/>
        <v>7</v>
      </c>
      <c r="D47" s="8" t="s">
        <v>2</v>
      </c>
      <c r="E47" s="9" t="s">
        <v>134</v>
      </c>
      <c r="F47" s="10">
        <v>21.1</v>
      </c>
      <c r="G47" s="10">
        <v>2679.7000000000003</v>
      </c>
    </row>
    <row r="48" spans="1:7" ht="64.5" customHeight="1">
      <c r="A48" s="5" t="s">
        <v>44</v>
      </c>
      <c r="B48" s="6">
        <f>3+54+50+5</f>
        <v>112</v>
      </c>
      <c r="C48" s="7">
        <f t="shared" si="0"/>
        <v>6</v>
      </c>
      <c r="D48" s="8" t="s">
        <v>2</v>
      </c>
      <c r="E48" s="9" t="s">
        <v>135</v>
      </c>
      <c r="F48" s="10">
        <v>138</v>
      </c>
      <c r="G48" s="10">
        <v>15456</v>
      </c>
    </row>
    <row r="49" spans="1:7" ht="64.5" customHeight="1">
      <c r="A49" s="5" t="s">
        <v>45</v>
      </c>
      <c r="B49" s="6">
        <f>4+25+50+5</f>
        <v>84</v>
      </c>
      <c r="C49" s="7">
        <f t="shared" si="0"/>
        <v>5</v>
      </c>
      <c r="D49" s="8" t="s">
        <v>2</v>
      </c>
      <c r="E49" s="9" t="s">
        <v>136</v>
      </c>
      <c r="F49" s="10">
        <v>138.33000000000001</v>
      </c>
      <c r="G49" s="10">
        <v>11619.720000000001</v>
      </c>
    </row>
    <row r="50" spans="1:7" ht="64.5" customHeight="1">
      <c r="A50" s="5" t="s">
        <v>46</v>
      </c>
      <c r="B50" s="6">
        <f>4+30+50+5</f>
        <v>89</v>
      </c>
      <c r="C50" s="7">
        <f t="shared" si="0"/>
        <v>5</v>
      </c>
      <c r="D50" s="8" t="s">
        <v>2</v>
      </c>
      <c r="E50" s="9" t="s">
        <v>137</v>
      </c>
      <c r="F50" s="10">
        <v>121.67</v>
      </c>
      <c r="G50" s="10">
        <v>10828.630000000001</v>
      </c>
    </row>
    <row r="51" spans="1:7" ht="64.5" customHeight="1">
      <c r="A51" s="5" t="s">
        <v>47</v>
      </c>
      <c r="B51" s="6">
        <f>6+62+5</f>
        <v>73</v>
      </c>
      <c r="C51" s="7">
        <f t="shared" si="0"/>
        <v>4</v>
      </c>
      <c r="D51" s="8" t="s">
        <v>2</v>
      </c>
      <c r="E51" s="9" t="s">
        <v>138</v>
      </c>
      <c r="F51" s="10">
        <v>12.25</v>
      </c>
      <c r="G51" s="10">
        <v>894.25</v>
      </c>
    </row>
    <row r="52" spans="1:7" ht="64.5" customHeight="1">
      <c r="A52" s="5" t="s">
        <v>48</v>
      </c>
      <c r="B52" s="6">
        <f>6+64+5</f>
        <v>75</v>
      </c>
      <c r="C52" s="7">
        <f t="shared" si="0"/>
        <v>4</v>
      </c>
      <c r="D52" s="8" t="s">
        <v>2</v>
      </c>
      <c r="E52" s="9" t="s">
        <v>139</v>
      </c>
      <c r="F52" s="10">
        <v>8.33</v>
      </c>
      <c r="G52" s="10">
        <v>624.75</v>
      </c>
    </row>
    <row r="53" spans="1:7" ht="64.5" customHeight="1">
      <c r="A53" s="5" t="s">
        <v>49</v>
      </c>
      <c r="B53" s="6">
        <f>6+40+5</f>
        <v>51</v>
      </c>
      <c r="C53" s="7">
        <f t="shared" si="0"/>
        <v>3</v>
      </c>
      <c r="D53" s="8" t="s">
        <v>2</v>
      </c>
      <c r="E53" s="9" t="s">
        <v>140</v>
      </c>
      <c r="F53" s="10">
        <v>10.52</v>
      </c>
      <c r="G53" s="10">
        <v>536.52</v>
      </c>
    </row>
    <row r="54" spans="1:7" ht="64.5" customHeight="1">
      <c r="A54" s="5" t="s">
        <v>50</v>
      </c>
      <c r="B54" s="6">
        <f>6+36+5</f>
        <v>47</v>
      </c>
      <c r="C54" s="7">
        <f t="shared" si="0"/>
        <v>3</v>
      </c>
      <c r="D54" s="8" t="s">
        <v>2</v>
      </c>
      <c r="E54" s="9" t="s">
        <v>141</v>
      </c>
      <c r="F54" s="10">
        <v>8.18</v>
      </c>
      <c r="G54" s="10">
        <v>384.46</v>
      </c>
    </row>
    <row r="55" spans="1:7" ht="64.5" customHeight="1">
      <c r="A55" s="5" t="s">
        <v>51</v>
      </c>
      <c r="B55" s="6">
        <f>12+42+5</f>
        <v>59</v>
      </c>
      <c r="C55" s="7">
        <f t="shared" si="0"/>
        <v>3</v>
      </c>
      <c r="D55" s="8" t="s">
        <v>2</v>
      </c>
      <c r="E55" s="9" t="s">
        <v>142</v>
      </c>
      <c r="F55" s="10">
        <v>11.41</v>
      </c>
      <c r="G55" s="10">
        <v>673.19</v>
      </c>
    </row>
    <row r="56" spans="1:7" ht="64.5" customHeight="1">
      <c r="A56" s="5" t="s">
        <v>52</v>
      </c>
      <c r="B56" s="6">
        <f>12+32+5</f>
        <v>49</v>
      </c>
      <c r="C56" s="7">
        <f t="shared" si="0"/>
        <v>3</v>
      </c>
      <c r="D56" s="8" t="s">
        <v>2</v>
      </c>
      <c r="E56" s="9" t="s">
        <v>143</v>
      </c>
      <c r="F56" s="10">
        <v>15.05</v>
      </c>
      <c r="G56" s="10">
        <v>737.45</v>
      </c>
    </row>
    <row r="57" spans="1:7" ht="64.5" customHeight="1">
      <c r="A57" s="5" t="s">
        <v>53</v>
      </c>
      <c r="B57" s="6">
        <f>15+36+5</f>
        <v>56</v>
      </c>
      <c r="C57" s="7">
        <f t="shared" si="0"/>
        <v>3</v>
      </c>
      <c r="D57" s="8" t="s">
        <v>2</v>
      </c>
      <c r="E57" s="9" t="s">
        <v>144</v>
      </c>
      <c r="F57" s="10">
        <v>10.96</v>
      </c>
      <c r="G57" s="10">
        <v>613.76</v>
      </c>
    </row>
    <row r="58" spans="1:7" ht="64.5" customHeight="1">
      <c r="A58" s="5" t="s">
        <v>54</v>
      </c>
      <c r="B58" s="6">
        <f>12+30+5</f>
        <v>47</v>
      </c>
      <c r="C58" s="7">
        <f t="shared" si="0"/>
        <v>3</v>
      </c>
      <c r="D58" s="8" t="s">
        <v>2</v>
      </c>
      <c r="E58" s="9" t="s">
        <v>145</v>
      </c>
      <c r="F58" s="10">
        <v>14.32</v>
      </c>
      <c r="G58" s="10">
        <v>673.04</v>
      </c>
    </row>
    <row r="59" spans="1:7" ht="64.5" customHeight="1">
      <c r="A59" s="5" t="s">
        <v>55</v>
      </c>
      <c r="B59" s="6">
        <f>25+26+5</f>
        <v>56</v>
      </c>
      <c r="C59" s="7">
        <f t="shared" si="0"/>
        <v>3</v>
      </c>
      <c r="D59" s="8" t="s">
        <v>2</v>
      </c>
      <c r="E59" s="9" t="s">
        <v>146</v>
      </c>
      <c r="F59" s="10">
        <v>2.59</v>
      </c>
      <c r="G59" s="10">
        <v>145.04</v>
      </c>
    </row>
    <row r="60" spans="1:7" ht="64.5" customHeight="1">
      <c r="A60" s="5" t="s">
        <v>56</v>
      </c>
      <c r="B60" s="6">
        <f>18+40+5</f>
        <v>63</v>
      </c>
      <c r="C60" s="7">
        <f t="shared" si="0"/>
        <v>4</v>
      </c>
      <c r="D60" s="8" t="s">
        <v>2</v>
      </c>
      <c r="E60" s="9" t="s">
        <v>147</v>
      </c>
      <c r="F60" s="10">
        <v>3.2</v>
      </c>
      <c r="G60" s="10">
        <v>201.60000000000002</v>
      </c>
    </row>
    <row r="61" spans="1:7" ht="64.5" customHeight="1">
      <c r="A61" s="5" t="s">
        <v>57</v>
      </c>
      <c r="B61" s="6">
        <f>15+30+5</f>
        <v>50</v>
      </c>
      <c r="C61" s="7">
        <f t="shared" si="0"/>
        <v>3</v>
      </c>
      <c r="D61" s="8" t="s">
        <v>2</v>
      </c>
      <c r="E61" s="9" t="s">
        <v>148</v>
      </c>
      <c r="F61" s="10">
        <v>17.09</v>
      </c>
      <c r="G61" s="10">
        <v>854.5</v>
      </c>
    </row>
    <row r="62" spans="1:7" ht="64.5" customHeight="1">
      <c r="A62" s="5" t="s">
        <v>58</v>
      </c>
      <c r="B62" s="6">
        <f>15+24+5</f>
        <v>44</v>
      </c>
      <c r="C62" s="7">
        <f t="shared" si="0"/>
        <v>3</v>
      </c>
      <c r="D62" s="8" t="s">
        <v>2</v>
      </c>
      <c r="E62" s="9" t="s">
        <v>149</v>
      </c>
      <c r="F62" s="10">
        <v>26.51</v>
      </c>
      <c r="G62" s="10">
        <v>1166.44</v>
      </c>
    </row>
    <row r="63" spans="1:7" ht="64.5" customHeight="1">
      <c r="A63" s="5" t="s">
        <v>59</v>
      </c>
      <c r="B63" s="6">
        <f>20+36+5</f>
        <v>61</v>
      </c>
      <c r="C63" s="7">
        <f t="shared" si="0"/>
        <v>4</v>
      </c>
      <c r="D63" s="8" t="s">
        <v>2</v>
      </c>
      <c r="E63" s="9" t="s">
        <v>150</v>
      </c>
      <c r="F63" s="10">
        <v>34.29</v>
      </c>
      <c r="G63" s="10">
        <v>2091.69</v>
      </c>
    </row>
    <row r="64" spans="1:7" ht="64.5" customHeight="1">
      <c r="A64" s="5" t="s">
        <v>60</v>
      </c>
      <c r="B64" s="6">
        <f>25+12+5</f>
        <v>42</v>
      </c>
      <c r="C64" s="7">
        <f t="shared" si="0"/>
        <v>3</v>
      </c>
      <c r="D64" s="8" t="s">
        <v>2</v>
      </c>
      <c r="E64" s="9" t="s">
        <v>151</v>
      </c>
      <c r="F64" s="10">
        <v>53.36</v>
      </c>
      <c r="G64" s="10">
        <v>2241.12</v>
      </c>
    </row>
    <row r="65" spans="1:7" ht="64.5" customHeight="1">
      <c r="A65" s="5" t="s">
        <v>61</v>
      </c>
      <c r="B65" s="6">
        <f>30+12+10</f>
        <v>52</v>
      </c>
      <c r="C65" s="7">
        <f t="shared" si="0"/>
        <v>3</v>
      </c>
      <c r="D65" s="8" t="s">
        <v>2</v>
      </c>
      <c r="E65" s="9" t="s">
        <v>160</v>
      </c>
      <c r="F65" s="10">
        <v>7.47</v>
      </c>
      <c r="G65" s="10">
        <v>388.44</v>
      </c>
    </row>
    <row r="66" spans="1:7" ht="64.5" customHeight="1">
      <c r="A66" s="5" t="s">
        <v>62</v>
      </c>
      <c r="B66" s="6">
        <f>30+18+10</f>
        <v>58</v>
      </c>
      <c r="C66" s="7">
        <f t="shared" si="0"/>
        <v>3</v>
      </c>
      <c r="D66" s="8" t="s">
        <v>2</v>
      </c>
      <c r="E66" s="9" t="s">
        <v>161</v>
      </c>
      <c r="F66" s="10">
        <v>11</v>
      </c>
      <c r="G66" s="10">
        <v>638</v>
      </c>
    </row>
    <row r="67" spans="1:7" ht="64.5" customHeight="1">
      <c r="A67" s="5" t="s">
        <v>63</v>
      </c>
      <c r="B67" s="6">
        <f>25+16+10</f>
        <v>51</v>
      </c>
      <c r="C67" s="7">
        <f t="shared" si="0"/>
        <v>3</v>
      </c>
      <c r="D67" s="8" t="s">
        <v>2</v>
      </c>
      <c r="E67" s="9" t="s">
        <v>162</v>
      </c>
      <c r="F67" s="10">
        <v>15.1</v>
      </c>
      <c r="G67" s="10">
        <v>770.1</v>
      </c>
    </row>
    <row r="68" spans="1:7" ht="64.5" customHeight="1">
      <c r="A68" s="5" t="s">
        <v>64</v>
      </c>
      <c r="B68" s="6">
        <f>30+12+10</f>
        <v>52</v>
      </c>
      <c r="C68" s="7">
        <f t="shared" si="0"/>
        <v>3</v>
      </c>
      <c r="D68" s="8" t="s">
        <v>2</v>
      </c>
      <c r="E68" s="9" t="s">
        <v>163</v>
      </c>
      <c r="F68" s="10">
        <v>17.829999999999998</v>
      </c>
      <c r="G68" s="10">
        <v>927.15999999999985</v>
      </c>
    </row>
    <row r="69" spans="1:7" ht="64.5" customHeight="1">
      <c r="A69" s="5" t="s">
        <v>68</v>
      </c>
      <c r="B69" s="6">
        <f>30+14+10</f>
        <v>54</v>
      </c>
      <c r="C69" s="7">
        <f t="shared" si="0"/>
        <v>3</v>
      </c>
      <c r="D69" s="8" t="s">
        <v>2</v>
      </c>
      <c r="E69" s="9" t="s">
        <v>164</v>
      </c>
      <c r="F69" s="10">
        <v>26.28</v>
      </c>
      <c r="G69" s="10">
        <v>1419.1200000000001</v>
      </c>
    </row>
    <row r="70" spans="1:7" ht="64.5" customHeight="1">
      <c r="A70" s="5" t="s">
        <v>69</v>
      </c>
      <c r="B70" s="6">
        <f>30+20+10</f>
        <v>60</v>
      </c>
      <c r="C70" s="7">
        <f t="shared" si="0"/>
        <v>3</v>
      </c>
      <c r="D70" s="8" t="s">
        <v>2</v>
      </c>
      <c r="E70" s="9" t="s">
        <v>165</v>
      </c>
      <c r="F70" s="10">
        <v>19.600000000000001</v>
      </c>
      <c r="G70" s="10">
        <v>1176</v>
      </c>
    </row>
    <row r="71" spans="1:7" ht="64.5" customHeight="1">
      <c r="A71" s="5" t="s">
        <v>70</v>
      </c>
      <c r="B71" s="6">
        <f>30+16+100+10</f>
        <v>156</v>
      </c>
      <c r="C71" s="7">
        <f t="shared" si="0"/>
        <v>8</v>
      </c>
      <c r="D71" s="8" t="s">
        <v>2</v>
      </c>
      <c r="E71" s="9" t="s">
        <v>166</v>
      </c>
      <c r="F71" s="10">
        <v>29.37</v>
      </c>
      <c r="G71" s="10">
        <v>4581.72</v>
      </c>
    </row>
    <row r="72" spans="1:7" ht="64.5" customHeight="1">
      <c r="A72" s="5" t="s">
        <v>71</v>
      </c>
      <c r="B72" s="6">
        <f>70+40+100</f>
        <v>210</v>
      </c>
      <c r="C72" s="7">
        <f t="shared" si="0"/>
        <v>11</v>
      </c>
      <c r="D72" s="8" t="s">
        <v>2</v>
      </c>
      <c r="E72" s="9" t="s">
        <v>167</v>
      </c>
      <c r="F72" s="10">
        <v>19.72</v>
      </c>
      <c r="G72" s="10">
        <v>4141.2</v>
      </c>
    </row>
    <row r="73" spans="1:7" ht="64.5" customHeight="1">
      <c r="A73" s="5" t="s">
        <v>65</v>
      </c>
      <c r="B73" s="6">
        <f>70+30+100</f>
        <v>200</v>
      </c>
      <c r="C73" s="7">
        <f t="shared" ref="C73:C106" si="2">ROUNDUP((0.05*B73),0)</f>
        <v>10</v>
      </c>
      <c r="D73" s="8" t="s">
        <v>2</v>
      </c>
      <c r="E73" s="9" t="s">
        <v>168</v>
      </c>
      <c r="F73" s="10">
        <v>60.42</v>
      </c>
      <c r="G73" s="10">
        <v>12084</v>
      </c>
    </row>
    <row r="74" spans="1:7" ht="64.5" customHeight="1">
      <c r="A74" s="5" t="s">
        <v>72</v>
      </c>
      <c r="B74" s="6">
        <f>80+30+100</f>
        <v>210</v>
      </c>
      <c r="C74" s="7">
        <f t="shared" si="2"/>
        <v>11</v>
      </c>
      <c r="D74" s="8" t="s">
        <v>2</v>
      </c>
      <c r="E74" s="9" t="s">
        <v>169</v>
      </c>
      <c r="F74" s="10">
        <v>85.07</v>
      </c>
      <c r="G74" s="10">
        <v>17864.699999999997</v>
      </c>
    </row>
    <row r="75" spans="1:7" ht="64.5" customHeight="1">
      <c r="A75" s="5" t="s">
        <v>73</v>
      </c>
      <c r="B75" s="6">
        <f>70+36+100</f>
        <v>206</v>
      </c>
      <c r="C75" s="7">
        <f t="shared" si="2"/>
        <v>11</v>
      </c>
      <c r="D75" s="8" t="s">
        <v>2</v>
      </c>
      <c r="E75" s="9" t="s">
        <v>170</v>
      </c>
      <c r="F75" s="10">
        <v>112.69</v>
      </c>
      <c r="G75" s="10">
        <v>23214.14</v>
      </c>
    </row>
    <row r="76" spans="1:7" ht="64.5" customHeight="1">
      <c r="A76" s="5" t="s">
        <v>74</v>
      </c>
      <c r="B76" s="6">
        <f>20+8+10+10</f>
        <v>48</v>
      </c>
      <c r="C76" s="7">
        <f t="shared" si="2"/>
        <v>3</v>
      </c>
      <c r="D76" s="8" t="s">
        <v>2</v>
      </c>
      <c r="E76" s="9" t="s">
        <v>192</v>
      </c>
      <c r="F76" s="10">
        <v>57.97</v>
      </c>
      <c r="G76" s="10">
        <v>2782.56</v>
      </c>
    </row>
    <row r="77" spans="1:7" ht="64.5" customHeight="1">
      <c r="A77" s="5" t="s">
        <v>75</v>
      </c>
      <c r="B77" s="6">
        <f>20+6+10+10</f>
        <v>46</v>
      </c>
      <c r="C77" s="7">
        <f t="shared" si="2"/>
        <v>3</v>
      </c>
      <c r="D77" s="8" t="s">
        <v>2</v>
      </c>
      <c r="E77" s="9" t="s">
        <v>193</v>
      </c>
      <c r="F77" s="10">
        <v>44.83</v>
      </c>
      <c r="G77" s="10">
        <v>2062.1799999999998</v>
      </c>
    </row>
    <row r="78" spans="1:7" ht="64.5" customHeight="1">
      <c r="A78" s="5" t="s">
        <v>76</v>
      </c>
      <c r="B78" s="6">
        <f>15+4+10+10</f>
        <v>39</v>
      </c>
      <c r="C78" s="7">
        <f t="shared" si="2"/>
        <v>2</v>
      </c>
      <c r="D78" s="8" t="s">
        <v>2</v>
      </c>
      <c r="E78" s="9" t="s">
        <v>194</v>
      </c>
      <c r="F78" s="10">
        <v>44.83</v>
      </c>
      <c r="G78" s="10">
        <v>1748.37</v>
      </c>
    </row>
    <row r="79" spans="1:7" ht="64.5" customHeight="1">
      <c r="A79" s="5" t="s">
        <v>77</v>
      </c>
      <c r="B79" s="6">
        <f>30+4+10+10</f>
        <v>54</v>
      </c>
      <c r="C79" s="7">
        <f t="shared" si="2"/>
        <v>3</v>
      </c>
      <c r="D79" s="8" t="s">
        <v>2</v>
      </c>
      <c r="E79" s="9" t="s">
        <v>195</v>
      </c>
      <c r="F79" s="10">
        <v>57.77</v>
      </c>
      <c r="G79" s="10">
        <v>3119.5800000000004</v>
      </c>
    </row>
    <row r="80" spans="1:7" ht="64.5" customHeight="1">
      <c r="A80" s="5" t="s">
        <v>78</v>
      </c>
      <c r="B80" s="6">
        <f>15+5+10+10</f>
        <v>40</v>
      </c>
      <c r="C80" s="7">
        <f t="shared" si="2"/>
        <v>2</v>
      </c>
      <c r="D80" s="8" t="s">
        <v>2</v>
      </c>
      <c r="E80" s="9" t="s">
        <v>196</v>
      </c>
      <c r="F80" s="10">
        <v>44.83</v>
      </c>
      <c r="G80" s="10">
        <v>1793.1999999999998</v>
      </c>
    </row>
    <row r="81" spans="1:7" ht="64.5" customHeight="1">
      <c r="A81" s="5" t="s">
        <v>79</v>
      </c>
      <c r="B81" s="6">
        <f>15+6+10+10</f>
        <v>41</v>
      </c>
      <c r="C81" s="7">
        <f t="shared" si="2"/>
        <v>3</v>
      </c>
      <c r="D81" s="8" t="s">
        <v>2</v>
      </c>
      <c r="E81" s="9" t="s">
        <v>197</v>
      </c>
      <c r="F81" s="10">
        <v>44.83</v>
      </c>
      <c r="G81" s="10">
        <v>1838.03</v>
      </c>
    </row>
    <row r="82" spans="1:7" ht="64.5" customHeight="1">
      <c r="A82" s="5" t="s">
        <v>80</v>
      </c>
      <c r="B82" s="6">
        <f>15+6+5+10</f>
        <v>36</v>
      </c>
      <c r="C82" s="7">
        <f t="shared" si="2"/>
        <v>2</v>
      </c>
      <c r="D82" s="8" t="s">
        <v>2</v>
      </c>
      <c r="E82" s="9" t="s">
        <v>171</v>
      </c>
      <c r="F82" s="10">
        <v>13.15</v>
      </c>
      <c r="G82" s="10">
        <v>473.40000000000003</v>
      </c>
    </row>
    <row r="83" spans="1:7" ht="64.5" customHeight="1">
      <c r="A83" s="5" t="s">
        <v>81</v>
      </c>
      <c r="B83" s="6">
        <f>25+4+5+10</f>
        <v>44</v>
      </c>
      <c r="C83" s="7">
        <f t="shared" si="2"/>
        <v>3</v>
      </c>
      <c r="D83" s="8" t="s">
        <v>2</v>
      </c>
      <c r="E83" s="9" t="s">
        <v>172</v>
      </c>
      <c r="F83" s="10">
        <v>17.170000000000002</v>
      </c>
      <c r="G83" s="10">
        <v>755.48</v>
      </c>
    </row>
    <row r="84" spans="1:7" ht="64.5" customHeight="1">
      <c r="A84" s="5" t="s">
        <v>66</v>
      </c>
      <c r="B84" s="6">
        <f>15+4+5+10</f>
        <v>34</v>
      </c>
      <c r="C84" s="7">
        <f t="shared" si="2"/>
        <v>2</v>
      </c>
      <c r="D84" s="8" t="s">
        <v>2</v>
      </c>
      <c r="E84" s="9" t="s">
        <v>173</v>
      </c>
      <c r="F84" s="10">
        <v>24.85</v>
      </c>
      <c r="G84" s="10">
        <v>844.90000000000009</v>
      </c>
    </row>
    <row r="85" spans="1:7" ht="64.5" customHeight="1">
      <c r="A85" s="5" t="s">
        <v>82</v>
      </c>
      <c r="B85" s="6">
        <f>15+5+5+10</f>
        <v>35</v>
      </c>
      <c r="C85" s="7">
        <f t="shared" si="2"/>
        <v>2</v>
      </c>
      <c r="D85" s="8" t="s">
        <v>2</v>
      </c>
      <c r="E85" s="9" t="s">
        <v>174</v>
      </c>
      <c r="F85" s="10">
        <v>30.33</v>
      </c>
      <c r="G85" s="10">
        <v>1061.55</v>
      </c>
    </row>
    <row r="86" spans="1:7" ht="64.5" customHeight="1">
      <c r="A86" s="5" t="s">
        <v>83</v>
      </c>
      <c r="B86" s="6">
        <f>15+10+10+5</f>
        <v>40</v>
      </c>
      <c r="C86" s="7">
        <f t="shared" si="2"/>
        <v>2</v>
      </c>
      <c r="D86" s="8" t="s">
        <v>209</v>
      </c>
      <c r="E86" s="9" t="s">
        <v>175</v>
      </c>
      <c r="F86" s="10">
        <v>18.32</v>
      </c>
      <c r="G86" s="10">
        <v>732.8</v>
      </c>
    </row>
    <row r="87" spans="1:7" ht="64.5" customHeight="1">
      <c r="A87" s="5" t="s">
        <v>84</v>
      </c>
      <c r="B87" s="6">
        <f>15+8+10+5</f>
        <v>38</v>
      </c>
      <c r="C87" s="7">
        <f t="shared" si="2"/>
        <v>2</v>
      </c>
      <c r="D87" s="8" t="s">
        <v>209</v>
      </c>
      <c r="E87" s="9" t="s">
        <v>176</v>
      </c>
      <c r="F87" s="10">
        <v>17.899999999999999</v>
      </c>
      <c r="G87" s="10">
        <v>680.19999999999993</v>
      </c>
    </row>
    <row r="88" spans="1:7" ht="64.5" customHeight="1">
      <c r="A88" s="5" t="s">
        <v>85</v>
      </c>
      <c r="B88" s="6">
        <f>15+12+10+5</f>
        <v>42</v>
      </c>
      <c r="C88" s="7">
        <f t="shared" si="2"/>
        <v>3</v>
      </c>
      <c r="D88" s="8" t="s">
        <v>209</v>
      </c>
      <c r="E88" s="9" t="s">
        <v>177</v>
      </c>
      <c r="F88" s="10">
        <v>17.899999999999999</v>
      </c>
      <c r="G88" s="10">
        <v>751.8</v>
      </c>
    </row>
    <row r="89" spans="1:7" ht="64.5" customHeight="1">
      <c r="A89" s="5" t="s">
        <v>86</v>
      </c>
      <c r="B89" s="6">
        <f>15+10+10+5</f>
        <v>40</v>
      </c>
      <c r="C89" s="7">
        <f t="shared" si="2"/>
        <v>2</v>
      </c>
      <c r="D89" s="8" t="s">
        <v>209</v>
      </c>
      <c r="E89" s="9" t="s">
        <v>178</v>
      </c>
      <c r="F89" s="10">
        <v>14.4</v>
      </c>
      <c r="G89" s="10">
        <v>576</v>
      </c>
    </row>
    <row r="90" spans="1:7" ht="64.5" customHeight="1">
      <c r="A90" s="5" t="s">
        <v>87</v>
      </c>
      <c r="B90" s="6">
        <f>12+16+10+5</f>
        <v>43</v>
      </c>
      <c r="C90" s="7">
        <f t="shared" si="2"/>
        <v>3</v>
      </c>
      <c r="D90" s="8" t="s">
        <v>209</v>
      </c>
      <c r="E90" s="9" t="s">
        <v>179</v>
      </c>
      <c r="F90" s="10">
        <v>12.75</v>
      </c>
      <c r="G90" s="10">
        <v>548.25</v>
      </c>
    </row>
    <row r="91" spans="1:7" ht="64.5" customHeight="1">
      <c r="A91" s="5" t="s">
        <v>67</v>
      </c>
      <c r="B91" s="6">
        <f>12+18+10+5</f>
        <v>45</v>
      </c>
      <c r="C91" s="7">
        <f t="shared" si="2"/>
        <v>3</v>
      </c>
      <c r="D91" s="8" t="s">
        <v>209</v>
      </c>
      <c r="E91" s="9" t="s">
        <v>180</v>
      </c>
      <c r="F91" s="10">
        <v>12.75</v>
      </c>
      <c r="G91" s="10">
        <v>573.75</v>
      </c>
    </row>
    <row r="92" spans="1:7" ht="64.5" customHeight="1">
      <c r="A92" s="5" t="s">
        <v>88</v>
      </c>
      <c r="B92" s="6">
        <f>12+12+10+5</f>
        <v>39</v>
      </c>
      <c r="C92" s="7">
        <f t="shared" si="2"/>
        <v>2</v>
      </c>
      <c r="D92" s="8" t="s">
        <v>209</v>
      </c>
      <c r="E92" s="9" t="s">
        <v>181</v>
      </c>
      <c r="F92" s="10">
        <v>13.08</v>
      </c>
      <c r="G92" s="10">
        <v>510.12</v>
      </c>
    </row>
    <row r="93" spans="1:7" ht="64.5" customHeight="1">
      <c r="A93" s="5" t="s">
        <v>89</v>
      </c>
      <c r="B93" s="6">
        <f>15+8+10+5</f>
        <v>38</v>
      </c>
      <c r="C93" s="7">
        <f t="shared" si="2"/>
        <v>2</v>
      </c>
      <c r="D93" s="8" t="s">
        <v>209</v>
      </c>
      <c r="E93" s="9" t="s">
        <v>182</v>
      </c>
      <c r="F93" s="10">
        <v>13.42</v>
      </c>
      <c r="G93" s="10">
        <v>509.96</v>
      </c>
    </row>
    <row r="94" spans="1:7" ht="64.5" customHeight="1">
      <c r="A94" s="5" t="s">
        <v>90</v>
      </c>
      <c r="B94" s="6">
        <f t="shared" ref="B94:B95" si="3">30+18+20+5</f>
        <v>73</v>
      </c>
      <c r="C94" s="7">
        <f t="shared" si="2"/>
        <v>4</v>
      </c>
      <c r="D94" s="8" t="s">
        <v>2</v>
      </c>
      <c r="E94" s="9" t="s">
        <v>183</v>
      </c>
      <c r="F94" s="10">
        <v>32.57</v>
      </c>
      <c r="G94" s="10">
        <v>2377.61</v>
      </c>
    </row>
    <row r="95" spans="1:7" ht="64.5" customHeight="1">
      <c r="A95" s="5" t="s">
        <v>91</v>
      </c>
      <c r="B95" s="6">
        <f t="shared" si="3"/>
        <v>73</v>
      </c>
      <c r="C95" s="7">
        <f t="shared" si="2"/>
        <v>4</v>
      </c>
      <c r="D95" s="8" t="s">
        <v>2</v>
      </c>
      <c r="E95" s="9" t="s">
        <v>184</v>
      </c>
      <c r="F95" s="10">
        <v>40</v>
      </c>
      <c r="G95" s="10">
        <v>2920</v>
      </c>
    </row>
    <row r="96" spans="1:7" ht="64.5" customHeight="1">
      <c r="A96" s="5" t="s">
        <v>92</v>
      </c>
      <c r="B96" s="6">
        <f>30+16+20+5</f>
        <v>71</v>
      </c>
      <c r="C96" s="7">
        <f t="shared" si="2"/>
        <v>4</v>
      </c>
      <c r="D96" s="8" t="s">
        <v>2</v>
      </c>
      <c r="E96" s="9" t="s">
        <v>185</v>
      </c>
      <c r="F96" s="10">
        <v>17.39</v>
      </c>
      <c r="G96" s="10">
        <v>1234.69</v>
      </c>
    </row>
    <row r="97" spans="1:7" ht="64.5" customHeight="1">
      <c r="A97" s="5" t="s">
        <v>93</v>
      </c>
      <c r="B97" s="6">
        <f>120+4+100+50</f>
        <v>274</v>
      </c>
      <c r="C97" s="7">
        <f t="shared" si="2"/>
        <v>14</v>
      </c>
      <c r="D97" s="8" t="s">
        <v>2</v>
      </c>
      <c r="E97" s="9" t="s">
        <v>186</v>
      </c>
      <c r="F97" s="10">
        <v>0.19</v>
      </c>
      <c r="G97" s="10">
        <v>52.06</v>
      </c>
    </row>
    <row r="98" spans="1:7" ht="64.5" customHeight="1">
      <c r="A98" s="5" t="s">
        <v>94</v>
      </c>
      <c r="B98" s="6">
        <f>120+6+100+50</f>
        <v>276</v>
      </c>
      <c r="C98" s="7">
        <f t="shared" si="2"/>
        <v>14</v>
      </c>
      <c r="D98" s="8" t="s">
        <v>2</v>
      </c>
      <c r="E98" s="9" t="s">
        <v>187</v>
      </c>
      <c r="F98" s="10">
        <v>0.23</v>
      </c>
      <c r="G98" s="10">
        <v>63.480000000000004</v>
      </c>
    </row>
    <row r="99" spans="1:7" ht="64.5" customHeight="1">
      <c r="A99" s="5" t="s">
        <v>198</v>
      </c>
      <c r="B99" s="13">
        <f>14</f>
        <v>14</v>
      </c>
      <c r="C99" s="7">
        <f t="shared" si="2"/>
        <v>1</v>
      </c>
      <c r="D99" s="8" t="s">
        <v>2</v>
      </c>
      <c r="E99" s="9" t="s">
        <v>152</v>
      </c>
      <c r="F99" s="10">
        <v>72.73</v>
      </c>
      <c r="G99" s="10">
        <v>1018.22</v>
      </c>
    </row>
    <row r="100" spans="1:7" ht="64.5" customHeight="1">
      <c r="A100" s="5" t="s">
        <v>199</v>
      </c>
      <c r="B100" s="13">
        <f>18</f>
        <v>18</v>
      </c>
      <c r="C100" s="7">
        <f t="shared" si="2"/>
        <v>1</v>
      </c>
      <c r="D100" s="8" t="s">
        <v>2</v>
      </c>
      <c r="E100" s="9" t="s">
        <v>153</v>
      </c>
      <c r="F100" s="10">
        <v>13.17</v>
      </c>
      <c r="G100" s="10">
        <v>237.06</v>
      </c>
    </row>
    <row r="101" spans="1:7" ht="64.5" customHeight="1">
      <c r="A101" s="5" t="s">
        <v>200</v>
      </c>
      <c r="B101" s="13">
        <f>10</f>
        <v>10</v>
      </c>
      <c r="C101" s="7">
        <f t="shared" si="2"/>
        <v>1</v>
      </c>
      <c r="D101" s="8" t="s">
        <v>2</v>
      </c>
      <c r="E101" s="9" t="s">
        <v>154</v>
      </c>
      <c r="F101" s="10">
        <v>21.15</v>
      </c>
      <c r="G101" s="10">
        <v>211.5</v>
      </c>
    </row>
    <row r="102" spans="1:7" ht="64.5" customHeight="1">
      <c r="A102" s="5" t="s">
        <v>201</v>
      </c>
      <c r="B102" s="13">
        <f>10</f>
        <v>10</v>
      </c>
      <c r="C102" s="7">
        <f t="shared" si="2"/>
        <v>1</v>
      </c>
      <c r="D102" s="8" t="s">
        <v>2</v>
      </c>
      <c r="E102" s="9" t="s">
        <v>155</v>
      </c>
      <c r="F102" s="10">
        <v>27.61</v>
      </c>
      <c r="G102" s="10">
        <v>276.10000000000002</v>
      </c>
    </row>
    <row r="103" spans="1:7" ht="64.5" customHeight="1">
      <c r="A103" s="5" t="s">
        <v>202</v>
      </c>
      <c r="B103" s="13">
        <f>6</f>
        <v>6</v>
      </c>
      <c r="C103" s="7">
        <f t="shared" si="2"/>
        <v>1</v>
      </c>
      <c r="D103" s="8" t="s">
        <v>2</v>
      </c>
      <c r="E103" s="9" t="s">
        <v>156</v>
      </c>
      <c r="F103" s="10">
        <v>43.44</v>
      </c>
      <c r="G103" s="10">
        <v>260.64</v>
      </c>
    </row>
    <row r="104" spans="1:7" ht="64.5" customHeight="1">
      <c r="A104" s="5" t="s">
        <v>203</v>
      </c>
      <c r="B104" s="13">
        <f>8</f>
        <v>8</v>
      </c>
      <c r="C104" s="7">
        <f t="shared" si="2"/>
        <v>1</v>
      </c>
      <c r="D104" s="8" t="s">
        <v>2</v>
      </c>
      <c r="E104" s="9" t="s">
        <v>157</v>
      </c>
      <c r="F104" s="10">
        <v>58.27</v>
      </c>
      <c r="G104" s="10">
        <v>466.16</v>
      </c>
    </row>
    <row r="105" spans="1:7" ht="64.5" customHeight="1">
      <c r="A105" s="5" t="s">
        <v>204</v>
      </c>
      <c r="B105" s="13">
        <f>12</f>
        <v>12</v>
      </c>
      <c r="C105" s="7">
        <f t="shared" si="2"/>
        <v>1</v>
      </c>
      <c r="D105" s="8" t="s">
        <v>2</v>
      </c>
      <c r="E105" s="9" t="s">
        <v>158</v>
      </c>
      <c r="F105" s="10">
        <v>33.619999999999997</v>
      </c>
      <c r="G105" s="10">
        <v>403.43999999999994</v>
      </c>
    </row>
    <row r="106" spans="1:7" ht="64.5" customHeight="1">
      <c r="A106" s="5" t="s">
        <v>205</v>
      </c>
      <c r="B106" s="13">
        <f>10</f>
        <v>10</v>
      </c>
      <c r="C106" s="7">
        <f t="shared" si="2"/>
        <v>1</v>
      </c>
      <c r="D106" s="8" t="s">
        <v>2</v>
      </c>
      <c r="E106" s="9" t="s">
        <v>159</v>
      </c>
      <c r="F106" s="10">
        <v>27.25</v>
      </c>
      <c r="G106" s="10">
        <v>272.5</v>
      </c>
    </row>
    <row r="107" spans="1:7" ht="18.75">
      <c r="A107" s="19" t="s">
        <v>207</v>
      </c>
      <c r="B107" s="19"/>
      <c r="C107" s="19"/>
      <c r="D107" s="19"/>
      <c r="E107" s="19"/>
      <c r="F107" s="17">
        <v>453972.66</v>
      </c>
      <c r="G107" s="17"/>
    </row>
  </sheetData>
  <mergeCells count="13">
    <mergeCell ref="A4:G4"/>
    <mergeCell ref="A3:G3"/>
    <mergeCell ref="A2:G2"/>
    <mergeCell ref="A1:G1"/>
    <mergeCell ref="F107:G107"/>
    <mergeCell ref="F6:G6"/>
    <mergeCell ref="A107:E107"/>
    <mergeCell ref="A6:A7"/>
    <mergeCell ref="B6:B7"/>
    <mergeCell ref="C6:C7"/>
    <mergeCell ref="D6:D7"/>
    <mergeCell ref="E6:E7"/>
    <mergeCell ref="A5:G5"/>
  </mergeCells>
  <pageMargins left="0.7" right="0.7" top="0.75" bottom="0.75" header="0.3" footer="0.3"/>
  <pageSetup paperSize="9" scale="6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Agosto2017</vt:lpstr>
      <vt:lpstr>Agosto2017!Area_de_impressao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rachel</cp:lastModifiedBy>
  <cp:lastPrinted>2018-10-02T17:58:12Z</cp:lastPrinted>
  <dcterms:created xsi:type="dcterms:W3CDTF">2013-06-07T12:53:16Z</dcterms:created>
  <dcterms:modified xsi:type="dcterms:W3CDTF">2018-12-13T12:58:43Z</dcterms:modified>
</cp:coreProperties>
</file>