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firstSheet="11" activeTab="11"/>
  </bookViews>
  <sheets>
    <sheet name="Outubro2015" sheetId="1" r:id="rId1"/>
    <sheet name="Novembro2015" sheetId="2" r:id="rId2"/>
    <sheet name="Dezembro2015" sheetId="3" r:id="rId3"/>
    <sheet name="Janeiro2016" sheetId="4" r:id="rId4"/>
    <sheet name="Fevereiro2016" sheetId="5" r:id="rId5"/>
    <sheet name="Maio2016" sheetId="6" r:id="rId6"/>
    <sheet name="Junho2016" sheetId="7" r:id="rId7"/>
    <sheet name="Agosto2016" sheetId="8" r:id="rId8"/>
    <sheet name="Setembro2016" sheetId="9" r:id="rId9"/>
    <sheet name="Outubro2016" sheetId="10" r:id="rId10"/>
    <sheet name="Novembro2016" sheetId="11" r:id="rId11"/>
    <sheet name="CRAS" sheetId="18" r:id="rId12"/>
  </sheets>
  <definedNames>
    <definedName name="_xlnm.Print_Area" localSheetId="11">CRAS!$A$1:$F$88</definedName>
  </definedNames>
  <calcPr calcId="124519"/>
</workbook>
</file>

<file path=xl/calcChain.xml><?xml version="1.0" encoding="utf-8"?>
<calcChain xmlns="http://schemas.openxmlformats.org/spreadsheetml/2006/main">
  <c r="F10" i="18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9"/>
  <c r="E88" l="1"/>
  <c r="J99" i="11"/>
  <c r="H99"/>
  <c r="C99"/>
  <c r="J98"/>
  <c r="H98"/>
  <c r="C98"/>
  <c r="J97"/>
  <c r="H97"/>
  <c r="C97"/>
  <c r="J96"/>
  <c r="H96"/>
  <c r="C96"/>
  <c r="J95"/>
  <c r="H95"/>
  <c r="C95"/>
  <c r="J94"/>
  <c r="C94"/>
  <c r="C93"/>
  <c r="J92"/>
  <c r="C92"/>
  <c r="C91"/>
  <c r="J90"/>
  <c r="C90"/>
  <c r="J89"/>
  <c r="C89"/>
  <c r="J88"/>
  <c r="C88"/>
  <c r="J87"/>
  <c r="C87"/>
  <c r="J86"/>
  <c r="H86"/>
  <c r="C86"/>
  <c r="J85"/>
  <c r="H85"/>
  <c r="C85"/>
  <c r="J84"/>
  <c r="H84"/>
  <c r="C84"/>
  <c r="J83"/>
  <c r="C83"/>
  <c r="J82"/>
  <c r="C82"/>
  <c r="J81"/>
  <c r="C81"/>
  <c r="C80"/>
  <c r="J79"/>
  <c r="C79"/>
  <c r="J78"/>
  <c r="C78"/>
  <c r="J77"/>
  <c r="C77"/>
  <c r="J76"/>
  <c r="C76"/>
  <c r="J75"/>
  <c r="C75"/>
  <c r="J74"/>
  <c r="C74"/>
  <c r="J73"/>
  <c r="C73"/>
  <c r="J72"/>
  <c r="C72"/>
  <c r="J71"/>
  <c r="C71"/>
  <c r="J70"/>
  <c r="C70"/>
  <c r="J69"/>
  <c r="C69"/>
  <c r="J68"/>
  <c r="H68"/>
  <c r="C68"/>
  <c r="C67"/>
  <c r="H66"/>
  <c r="C66"/>
  <c r="H65"/>
  <c r="C65"/>
  <c r="J64"/>
  <c r="C64"/>
  <c r="C63"/>
  <c r="J62"/>
  <c r="C62"/>
  <c r="J61"/>
  <c r="C61"/>
  <c r="J60"/>
  <c r="C60"/>
  <c r="J59"/>
  <c r="H59"/>
  <c r="C59"/>
  <c r="H58"/>
  <c r="C58"/>
  <c r="H57"/>
  <c r="C57"/>
  <c r="H56"/>
  <c r="C56"/>
  <c r="J55"/>
  <c r="C55"/>
  <c r="H54"/>
  <c r="C54"/>
  <c r="J53"/>
  <c r="C53"/>
  <c r="C52"/>
  <c r="H51"/>
  <c r="C51"/>
  <c r="J50"/>
  <c r="C50"/>
  <c r="J49"/>
  <c r="C49"/>
  <c r="C48"/>
  <c r="J47"/>
  <c r="C47"/>
  <c r="C46"/>
  <c r="J45"/>
  <c r="C45"/>
  <c r="H44"/>
  <c r="C44"/>
  <c r="J43"/>
  <c r="C43"/>
  <c r="C42"/>
  <c r="J41"/>
  <c r="C41"/>
  <c r="J40"/>
  <c r="C40"/>
  <c r="J39"/>
  <c r="C39"/>
  <c r="J38"/>
  <c r="C38"/>
  <c r="H37"/>
  <c r="C37"/>
  <c r="H36"/>
  <c r="C36"/>
  <c r="H35"/>
  <c r="C35"/>
  <c r="H34"/>
  <c r="C34"/>
  <c r="H33"/>
  <c r="C33"/>
  <c r="H32"/>
  <c r="C32"/>
  <c r="H31"/>
  <c r="C31"/>
  <c r="H30"/>
  <c r="C30"/>
  <c r="H29"/>
  <c r="C29"/>
  <c r="H28"/>
  <c r="C28"/>
  <c r="H27"/>
  <c r="C27"/>
  <c r="J26"/>
  <c r="C26"/>
  <c r="J25"/>
  <c r="C25"/>
  <c r="J24"/>
  <c r="C24"/>
  <c r="J23"/>
  <c r="C23"/>
  <c r="J22"/>
  <c r="C22"/>
  <c r="J21"/>
  <c r="C21"/>
  <c r="H20"/>
  <c r="C20"/>
  <c r="H19"/>
  <c r="G100" s="1"/>
  <c r="C19"/>
  <c r="J18"/>
  <c r="C18"/>
  <c r="J17"/>
  <c r="C17"/>
  <c r="J16"/>
  <c r="C16"/>
  <c r="J15"/>
  <c r="C15"/>
  <c r="J14"/>
  <c r="C14"/>
  <c r="J13"/>
  <c r="C13"/>
  <c r="J12"/>
  <c r="C12"/>
  <c r="J11"/>
  <c r="C11"/>
  <c r="J10"/>
  <c r="C10"/>
  <c r="J9"/>
  <c r="I100" s="1"/>
  <c r="C9"/>
  <c r="J99" i="10"/>
  <c r="H99"/>
  <c r="C99"/>
  <c r="J98"/>
  <c r="H98"/>
  <c r="C98"/>
  <c r="J97"/>
  <c r="H97"/>
  <c r="C97"/>
  <c r="J96"/>
  <c r="H96"/>
  <c r="C96"/>
  <c r="J95"/>
  <c r="H95"/>
  <c r="C95"/>
  <c r="J94"/>
  <c r="C94"/>
  <c r="C93"/>
  <c r="J92"/>
  <c r="C92"/>
  <c r="C91"/>
  <c r="J90"/>
  <c r="C90"/>
  <c r="J89"/>
  <c r="C89"/>
  <c r="J88"/>
  <c r="C88"/>
  <c r="J87"/>
  <c r="C87"/>
  <c r="J86"/>
  <c r="H86"/>
  <c r="C86"/>
  <c r="J85"/>
  <c r="H85"/>
  <c r="C85"/>
  <c r="J84"/>
  <c r="H84"/>
  <c r="C84"/>
  <c r="J83"/>
  <c r="C83"/>
  <c r="J82"/>
  <c r="C82"/>
  <c r="J81"/>
  <c r="C81"/>
  <c r="C80"/>
  <c r="J79"/>
  <c r="C79"/>
  <c r="J78"/>
  <c r="C78"/>
  <c r="J77"/>
  <c r="C77"/>
  <c r="J76"/>
  <c r="C76"/>
  <c r="J75"/>
  <c r="C75"/>
  <c r="J74"/>
  <c r="C74"/>
  <c r="J73"/>
  <c r="C73"/>
  <c r="J72"/>
  <c r="C72"/>
  <c r="J71"/>
  <c r="C71"/>
  <c r="J70"/>
  <c r="C70"/>
  <c r="J69"/>
  <c r="C69"/>
  <c r="J68"/>
  <c r="H68"/>
  <c r="C68"/>
  <c r="C67"/>
  <c r="H66"/>
  <c r="C66"/>
  <c r="H65"/>
  <c r="C65"/>
  <c r="J64"/>
  <c r="C64"/>
  <c r="C63"/>
  <c r="J62"/>
  <c r="C62"/>
  <c r="J61"/>
  <c r="C61"/>
  <c r="J60"/>
  <c r="C60"/>
  <c r="J59"/>
  <c r="H59"/>
  <c r="C59"/>
  <c r="H58"/>
  <c r="C58"/>
  <c r="H57"/>
  <c r="C57"/>
  <c r="H56"/>
  <c r="C56"/>
  <c r="J55"/>
  <c r="C55"/>
  <c r="H54"/>
  <c r="C54"/>
  <c r="J53"/>
  <c r="C53"/>
  <c r="C52"/>
  <c r="H51"/>
  <c r="C51"/>
  <c r="J50"/>
  <c r="C50"/>
  <c r="J49"/>
  <c r="C49"/>
  <c r="C48"/>
  <c r="J47"/>
  <c r="C47"/>
  <c r="C46"/>
  <c r="J45"/>
  <c r="C45"/>
  <c r="H44"/>
  <c r="C44"/>
  <c r="J43"/>
  <c r="C43"/>
  <c r="C42"/>
  <c r="J41"/>
  <c r="C41"/>
  <c r="J40"/>
  <c r="C40"/>
  <c r="J39"/>
  <c r="C39"/>
  <c r="J38"/>
  <c r="C38"/>
  <c r="H37"/>
  <c r="C37"/>
  <c r="H36"/>
  <c r="C36"/>
  <c r="H35"/>
  <c r="C35"/>
  <c r="H34"/>
  <c r="C34"/>
  <c r="H33"/>
  <c r="C33"/>
  <c r="H32"/>
  <c r="C32"/>
  <c r="H31"/>
  <c r="C31"/>
  <c r="H30"/>
  <c r="C30"/>
  <c r="H29"/>
  <c r="C29"/>
  <c r="H28"/>
  <c r="C28"/>
  <c r="H27"/>
  <c r="C27"/>
  <c r="J26"/>
  <c r="C26"/>
  <c r="J25"/>
  <c r="C25"/>
  <c r="J24"/>
  <c r="C24"/>
  <c r="J23"/>
  <c r="C23"/>
  <c r="J22"/>
  <c r="C22"/>
  <c r="J21"/>
  <c r="C21"/>
  <c r="H20"/>
  <c r="C20"/>
  <c r="H19"/>
  <c r="G100" s="1"/>
  <c r="C19"/>
  <c r="J18"/>
  <c r="C18"/>
  <c r="J17"/>
  <c r="C17"/>
  <c r="J16"/>
  <c r="C16"/>
  <c r="J15"/>
  <c r="C15"/>
  <c r="J14"/>
  <c r="C14"/>
  <c r="J13"/>
  <c r="C13"/>
  <c r="J12"/>
  <c r="C12"/>
  <c r="J11"/>
  <c r="C11"/>
  <c r="J10"/>
  <c r="C10"/>
  <c r="J9"/>
  <c r="I100" s="1"/>
  <c r="C9"/>
  <c r="J99" i="9"/>
  <c r="H99"/>
  <c r="C99"/>
  <c r="J98"/>
  <c r="H98"/>
  <c r="C98"/>
  <c r="J97"/>
  <c r="H97"/>
  <c r="C97"/>
  <c r="J96"/>
  <c r="H96"/>
  <c r="C96"/>
  <c r="J95"/>
  <c r="H95"/>
  <c r="C95"/>
  <c r="J94"/>
  <c r="C94"/>
  <c r="C93"/>
  <c r="J92"/>
  <c r="C92"/>
  <c r="C91"/>
  <c r="J90"/>
  <c r="C90"/>
  <c r="J89"/>
  <c r="C89"/>
  <c r="J88"/>
  <c r="C88"/>
  <c r="J87"/>
  <c r="C87"/>
  <c r="J86"/>
  <c r="H86"/>
  <c r="C86"/>
  <c r="J85"/>
  <c r="H85"/>
  <c r="C85"/>
  <c r="J84"/>
  <c r="H84"/>
  <c r="C84"/>
  <c r="J83"/>
  <c r="C83"/>
  <c r="J82"/>
  <c r="C82"/>
  <c r="J81"/>
  <c r="C81"/>
  <c r="C80"/>
  <c r="J79"/>
  <c r="C79"/>
  <c r="J78"/>
  <c r="C78"/>
  <c r="J77"/>
  <c r="C77"/>
  <c r="J76"/>
  <c r="C76"/>
  <c r="J75"/>
  <c r="C75"/>
  <c r="J74"/>
  <c r="C74"/>
  <c r="J73"/>
  <c r="C73"/>
  <c r="J72"/>
  <c r="C72"/>
  <c r="J71"/>
  <c r="C71"/>
  <c r="J70"/>
  <c r="C70"/>
  <c r="J69"/>
  <c r="C69"/>
  <c r="J68"/>
  <c r="H68"/>
  <c r="C68"/>
  <c r="C67"/>
  <c r="H66"/>
  <c r="C66"/>
  <c r="H65"/>
  <c r="C65"/>
  <c r="J64"/>
  <c r="C64"/>
  <c r="C63"/>
  <c r="J62"/>
  <c r="C62"/>
  <c r="J61"/>
  <c r="C61"/>
  <c r="J60"/>
  <c r="C60"/>
  <c r="J59"/>
  <c r="H59"/>
  <c r="C59"/>
  <c r="H58"/>
  <c r="C58"/>
  <c r="H57"/>
  <c r="C57"/>
  <c r="H56"/>
  <c r="C56"/>
  <c r="J55"/>
  <c r="C55"/>
  <c r="H54"/>
  <c r="C54"/>
  <c r="J53"/>
  <c r="C53"/>
  <c r="C52"/>
  <c r="H51"/>
  <c r="C51"/>
  <c r="J50"/>
  <c r="C50"/>
  <c r="J49"/>
  <c r="C49"/>
  <c r="C48"/>
  <c r="J47"/>
  <c r="C47"/>
  <c r="C46"/>
  <c r="J45"/>
  <c r="C45"/>
  <c r="H44"/>
  <c r="C44"/>
  <c r="J43"/>
  <c r="C43"/>
  <c r="C42"/>
  <c r="J41"/>
  <c r="C41"/>
  <c r="J40"/>
  <c r="C40"/>
  <c r="J39"/>
  <c r="C39"/>
  <c r="J38"/>
  <c r="C38"/>
  <c r="H37"/>
  <c r="C37"/>
  <c r="H36"/>
  <c r="C36"/>
  <c r="H35"/>
  <c r="C35"/>
  <c r="H34"/>
  <c r="C34"/>
  <c r="H33"/>
  <c r="C33"/>
  <c r="H32"/>
  <c r="C32"/>
  <c r="H31"/>
  <c r="C31"/>
  <c r="H30"/>
  <c r="C30"/>
  <c r="H29"/>
  <c r="C29"/>
  <c r="H28"/>
  <c r="C28"/>
  <c r="H27"/>
  <c r="C27"/>
  <c r="J26"/>
  <c r="C26"/>
  <c r="J25"/>
  <c r="C25"/>
  <c r="J24"/>
  <c r="C24"/>
  <c r="J23"/>
  <c r="C23"/>
  <c r="J22"/>
  <c r="C22"/>
  <c r="J21"/>
  <c r="C21"/>
  <c r="H20"/>
  <c r="G100" s="1"/>
  <c r="C20"/>
  <c r="H19"/>
  <c r="C19"/>
  <c r="J18"/>
  <c r="C18"/>
  <c r="J17"/>
  <c r="C17"/>
  <c r="J16"/>
  <c r="C16"/>
  <c r="J15"/>
  <c r="C15"/>
  <c r="J14"/>
  <c r="C14"/>
  <c r="J13"/>
  <c r="C13"/>
  <c r="J12"/>
  <c r="C12"/>
  <c r="J11"/>
  <c r="C11"/>
  <c r="J10"/>
  <c r="I100" s="1"/>
  <c r="C10"/>
  <c r="J9"/>
  <c r="C9"/>
  <c r="H35" i="8"/>
  <c r="J94"/>
  <c r="J95"/>
  <c r="J96"/>
  <c r="J97"/>
  <c r="J98"/>
  <c r="J99"/>
  <c r="J60"/>
  <c r="J61"/>
  <c r="J62"/>
  <c r="J64"/>
  <c r="J68"/>
  <c r="J69"/>
  <c r="J70"/>
  <c r="J71"/>
  <c r="J72"/>
  <c r="J73"/>
  <c r="J74"/>
  <c r="J75"/>
  <c r="J76"/>
  <c r="J77"/>
  <c r="J78"/>
  <c r="J79"/>
  <c r="J81"/>
  <c r="J82"/>
  <c r="J83"/>
  <c r="J84"/>
  <c r="J85"/>
  <c r="J86"/>
  <c r="J87"/>
  <c r="J88"/>
  <c r="J89"/>
  <c r="J90"/>
  <c r="J38"/>
  <c r="J39"/>
  <c r="J40"/>
  <c r="J41"/>
  <c r="J43"/>
  <c r="J45"/>
  <c r="J47"/>
  <c r="J49"/>
  <c r="J50"/>
  <c r="J53"/>
  <c r="J55"/>
  <c r="J10"/>
  <c r="J11"/>
  <c r="J12"/>
  <c r="J13"/>
  <c r="J14"/>
  <c r="J15"/>
  <c r="J16"/>
  <c r="J17"/>
  <c r="J18"/>
  <c r="J21"/>
  <c r="J22"/>
  <c r="J23"/>
  <c r="J24"/>
  <c r="J25"/>
  <c r="J26"/>
  <c r="H95"/>
  <c r="H96"/>
  <c r="H97"/>
  <c r="G100" s="1"/>
  <c r="H98"/>
  <c r="H99"/>
  <c r="H44"/>
  <c r="H51"/>
  <c r="H54"/>
  <c r="H56"/>
  <c r="H57"/>
  <c r="H58"/>
  <c r="H59"/>
  <c r="H65"/>
  <c r="H66"/>
  <c r="H68"/>
  <c r="H84"/>
  <c r="H85"/>
  <c r="H86"/>
  <c r="H37"/>
  <c r="H19"/>
  <c r="H20"/>
  <c r="H27"/>
  <c r="H28"/>
  <c r="H29"/>
  <c r="H30"/>
  <c r="H31"/>
  <c r="H32"/>
  <c r="H33"/>
  <c r="H34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9"/>
  <c r="J59"/>
  <c r="H36"/>
  <c r="J92"/>
  <c r="J9"/>
  <c r="L91" i="7"/>
  <c r="L90"/>
  <c r="L89"/>
  <c r="L88"/>
  <c r="L87"/>
  <c r="L86"/>
  <c r="L85"/>
  <c r="L84"/>
  <c r="L83"/>
  <c r="L82"/>
  <c r="L81"/>
  <c r="N80"/>
  <c r="L78"/>
  <c r="H77"/>
  <c r="L76"/>
  <c r="L75"/>
  <c r="J74"/>
  <c r="N73"/>
  <c r="L72"/>
  <c r="L71"/>
  <c r="L69"/>
  <c r="L68"/>
  <c r="L67"/>
  <c r="L65"/>
  <c r="L64"/>
  <c r="L63"/>
  <c r="L61"/>
  <c r="L60"/>
  <c r="L59"/>
  <c r="L57"/>
  <c r="J56"/>
  <c r="L55"/>
  <c r="L54"/>
  <c r="L53"/>
  <c r="J51"/>
  <c r="J50"/>
  <c r="J49"/>
  <c r="L47"/>
  <c r="H46"/>
  <c r="H45"/>
  <c r="L43"/>
  <c r="L42"/>
  <c r="H41"/>
  <c r="L39"/>
  <c r="H38"/>
  <c r="H36"/>
  <c r="H35"/>
  <c r="N34"/>
  <c r="H32"/>
  <c r="J31"/>
  <c r="L30"/>
  <c r="J28"/>
  <c r="H27"/>
  <c r="H26"/>
  <c r="H24"/>
  <c r="L23"/>
  <c r="H22"/>
  <c r="J20"/>
  <c r="L19"/>
  <c r="N18"/>
  <c r="H16"/>
  <c r="L15"/>
  <c r="H14"/>
  <c r="L12"/>
  <c r="L11"/>
  <c r="H10"/>
  <c r="F91" i="6"/>
  <c r="F90"/>
  <c r="F89"/>
  <c r="F88"/>
  <c r="F87"/>
  <c r="F86"/>
  <c r="F85"/>
  <c r="F84"/>
  <c r="F83"/>
  <c r="F82"/>
  <c r="F81"/>
  <c r="F80"/>
  <c r="F79"/>
  <c r="F78"/>
  <c r="F76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2"/>
  <c r="F51"/>
  <c r="F50"/>
  <c r="F49"/>
  <c r="F48"/>
  <c r="F47"/>
  <c r="F46"/>
  <c r="F45"/>
  <c r="F44"/>
  <c r="F43"/>
  <c r="F42"/>
  <c r="F41"/>
  <c r="F40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L91"/>
  <c r="L90"/>
  <c r="L89"/>
  <c r="L88"/>
  <c r="L87"/>
  <c r="L86"/>
  <c r="L85"/>
  <c r="L84"/>
  <c r="L83"/>
  <c r="L82"/>
  <c r="L81"/>
  <c r="N80"/>
  <c r="N79"/>
  <c r="L78"/>
  <c r="H77"/>
  <c r="L76"/>
  <c r="L75"/>
  <c r="J74"/>
  <c r="N73"/>
  <c r="L72"/>
  <c r="L71"/>
  <c r="N70"/>
  <c r="L69"/>
  <c r="L68"/>
  <c r="L67"/>
  <c r="L66"/>
  <c r="L65"/>
  <c r="L64"/>
  <c r="L63"/>
  <c r="L62"/>
  <c r="L61"/>
  <c r="L60"/>
  <c r="L59"/>
  <c r="J58"/>
  <c r="L57"/>
  <c r="J56"/>
  <c r="L55"/>
  <c r="L54"/>
  <c r="L53"/>
  <c r="L52"/>
  <c r="J51"/>
  <c r="J50"/>
  <c r="J49"/>
  <c r="N48"/>
  <c r="L47"/>
  <c r="H46"/>
  <c r="H45"/>
  <c r="H44"/>
  <c r="L43"/>
  <c r="L42"/>
  <c r="H41"/>
  <c r="L40"/>
  <c r="L39"/>
  <c r="H38"/>
  <c r="L37"/>
  <c r="H36"/>
  <c r="H35"/>
  <c r="N34"/>
  <c r="L33"/>
  <c r="H32"/>
  <c r="J31"/>
  <c r="L30"/>
  <c r="H29"/>
  <c r="J28"/>
  <c r="H27"/>
  <c r="H26"/>
  <c r="N25"/>
  <c r="H24"/>
  <c r="L23"/>
  <c r="H22"/>
  <c r="L21"/>
  <c r="J20"/>
  <c r="L19"/>
  <c r="N18"/>
  <c r="H17"/>
  <c r="H16"/>
  <c r="L15"/>
  <c r="H14"/>
  <c r="N13"/>
  <c r="L12"/>
  <c r="L11"/>
  <c r="H10"/>
  <c r="G92" s="1"/>
  <c r="J9"/>
  <c r="I92" s="1"/>
  <c r="F91" i="5"/>
  <c r="L91" s="1"/>
  <c r="F90"/>
  <c r="L90" s="1"/>
  <c r="F89"/>
  <c r="L89" s="1"/>
  <c r="L88"/>
  <c r="F88"/>
  <c r="F87"/>
  <c r="L87" s="1"/>
  <c r="L86"/>
  <c r="F86"/>
  <c r="F85"/>
  <c r="L85" s="1"/>
  <c r="L84"/>
  <c r="F84"/>
  <c r="F83"/>
  <c r="L83" s="1"/>
  <c r="L82"/>
  <c r="F82"/>
  <c r="F81"/>
  <c r="L81" s="1"/>
  <c r="N80"/>
  <c r="F80"/>
  <c r="F79"/>
  <c r="N79" s="1"/>
  <c r="L78"/>
  <c r="F78"/>
  <c r="H77"/>
  <c r="F76"/>
  <c r="L76" s="1"/>
  <c r="L75"/>
  <c r="J74"/>
  <c r="F73"/>
  <c r="N73" s="1"/>
  <c r="F72"/>
  <c r="L72" s="1"/>
  <c r="L71"/>
  <c r="F71"/>
  <c r="F70"/>
  <c r="N70" s="1"/>
  <c r="L69"/>
  <c r="F69"/>
  <c r="F68"/>
  <c r="L68" s="1"/>
  <c r="L67"/>
  <c r="F67"/>
  <c r="F66"/>
  <c r="L66" s="1"/>
  <c r="F65"/>
  <c r="L65" s="1"/>
  <c r="L64"/>
  <c r="F64"/>
  <c r="F63"/>
  <c r="L63" s="1"/>
  <c r="F62"/>
  <c r="L62" s="1"/>
  <c r="F61"/>
  <c r="L61" s="1"/>
  <c r="F60"/>
  <c r="L60" s="1"/>
  <c r="F59"/>
  <c r="L59" s="1"/>
  <c r="J58"/>
  <c r="F58"/>
  <c r="F57"/>
  <c r="L57" s="1"/>
  <c r="J56"/>
  <c r="F56"/>
  <c r="F55"/>
  <c r="L55" s="1"/>
  <c r="L54"/>
  <c r="L53"/>
  <c r="L52"/>
  <c r="F52"/>
  <c r="F51"/>
  <c r="J51" s="1"/>
  <c r="F50"/>
  <c r="J50" s="1"/>
  <c r="F49"/>
  <c r="J49" s="1"/>
  <c r="N48"/>
  <c r="F48"/>
  <c r="F47"/>
  <c r="L47" s="1"/>
  <c r="H46"/>
  <c r="F46"/>
  <c r="F45"/>
  <c r="H45" s="1"/>
  <c r="H44"/>
  <c r="F44"/>
  <c r="F43"/>
  <c r="L43" s="1"/>
  <c r="L42"/>
  <c r="F42"/>
  <c r="F41"/>
  <c r="H41" s="1"/>
  <c r="L40"/>
  <c r="F40"/>
  <c r="L39"/>
  <c r="F38"/>
  <c r="H38" s="1"/>
  <c r="F37"/>
  <c r="L37" s="1"/>
  <c r="F36"/>
  <c r="H36" s="1"/>
  <c r="H35"/>
  <c r="F35"/>
  <c r="F34"/>
  <c r="N34" s="1"/>
  <c r="L33"/>
  <c r="F33"/>
  <c r="F32"/>
  <c r="H32" s="1"/>
  <c r="F31"/>
  <c r="J31" s="1"/>
  <c r="L30"/>
  <c r="F30"/>
  <c r="F29"/>
  <c r="H29" s="1"/>
  <c r="F28"/>
  <c r="J28" s="1"/>
  <c r="F27"/>
  <c r="H27" s="1"/>
  <c r="H26"/>
  <c r="F26"/>
  <c r="F25"/>
  <c r="N25" s="1"/>
  <c r="H24"/>
  <c r="F24"/>
  <c r="F23"/>
  <c r="L23" s="1"/>
  <c r="H22"/>
  <c r="F22"/>
  <c r="F21"/>
  <c r="L21" s="1"/>
  <c r="J20"/>
  <c r="F20"/>
  <c r="F19"/>
  <c r="L19" s="1"/>
  <c r="N18"/>
  <c r="F18"/>
  <c r="F17"/>
  <c r="H17" s="1"/>
  <c r="H16"/>
  <c r="F16"/>
  <c r="F15"/>
  <c r="L15" s="1"/>
  <c r="H14"/>
  <c r="F14"/>
  <c r="F13"/>
  <c r="N13" s="1"/>
  <c r="M92" s="1"/>
  <c r="L12"/>
  <c r="F12"/>
  <c r="F11"/>
  <c r="L11" s="1"/>
  <c r="K92" s="1"/>
  <c r="F10"/>
  <c r="H10" s="1"/>
  <c r="G92" s="1"/>
  <c r="F9"/>
  <c r="J9" s="1"/>
  <c r="I92" s="1"/>
  <c r="F80" i="4"/>
  <c r="F79"/>
  <c r="F73"/>
  <c r="F70"/>
  <c r="F48"/>
  <c r="F25"/>
  <c r="F18"/>
  <c r="F13"/>
  <c r="F34"/>
  <c r="F51"/>
  <c r="F50"/>
  <c r="F49"/>
  <c r="F31"/>
  <c r="F28"/>
  <c r="F20"/>
  <c r="F9"/>
  <c r="F58"/>
  <c r="F56"/>
  <c r="F46"/>
  <c r="F45"/>
  <c r="F44"/>
  <c r="F38"/>
  <c r="F36"/>
  <c r="F35"/>
  <c r="F32"/>
  <c r="F29"/>
  <c r="F26"/>
  <c r="F24"/>
  <c r="F22"/>
  <c r="F17"/>
  <c r="F16"/>
  <c r="F14"/>
  <c r="F10"/>
  <c r="F41"/>
  <c r="F27"/>
  <c r="F15"/>
  <c r="F59"/>
  <c r="F57"/>
  <c r="F55"/>
  <c r="F52"/>
  <c r="F47"/>
  <c r="F43"/>
  <c r="F42"/>
  <c r="F40"/>
  <c r="F37"/>
  <c r="F33"/>
  <c r="F30"/>
  <c r="F23"/>
  <c r="F21"/>
  <c r="F19"/>
  <c r="F12"/>
  <c r="F11"/>
  <c r="F91"/>
  <c r="F90"/>
  <c r="F89"/>
  <c r="F88"/>
  <c r="F87"/>
  <c r="F86"/>
  <c r="F85"/>
  <c r="F84"/>
  <c r="F83"/>
  <c r="F82"/>
  <c r="F81"/>
  <c r="F78"/>
  <c r="F76"/>
  <c r="F72"/>
  <c r="F71"/>
  <c r="F69"/>
  <c r="F68"/>
  <c r="F67"/>
  <c r="F66"/>
  <c r="F65"/>
  <c r="F64"/>
  <c r="F63"/>
  <c r="F62"/>
  <c r="F61"/>
  <c r="F60"/>
  <c r="F54"/>
  <c r="F53"/>
  <c r="L91"/>
  <c r="L90"/>
  <c r="L89"/>
  <c r="L88"/>
  <c r="L87"/>
  <c r="L86"/>
  <c r="L85"/>
  <c r="L84"/>
  <c r="L83"/>
  <c r="L82"/>
  <c r="L81"/>
  <c r="N80"/>
  <c r="N79"/>
  <c r="L78"/>
  <c r="H77"/>
  <c r="L76"/>
  <c r="L75"/>
  <c r="J74"/>
  <c r="N73"/>
  <c r="L72"/>
  <c r="L71"/>
  <c r="N70"/>
  <c r="L69"/>
  <c r="L68"/>
  <c r="L67"/>
  <c r="L66"/>
  <c r="L65"/>
  <c r="L64"/>
  <c r="L63"/>
  <c r="L62"/>
  <c r="L61"/>
  <c r="L60"/>
  <c r="L59"/>
  <c r="J58"/>
  <c r="L57"/>
  <c r="J56"/>
  <c r="L55"/>
  <c r="L54"/>
  <c r="L53"/>
  <c r="L52"/>
  <c r="J51"/>
  <c r="J50"/>
  <c r="J49"/>
  <c r="N48"/>
  <c r="L47"/>
  <c r="H46"/>
  <c r="H45"/>
  <c r="H44"/>
  <c r="L43"/>
  <c r="L42"/>
  <c r="H41"/>
  <c r="L40"/>
  <c r="L39"/>
  <c r="H38"/>
  <c r="L37"/>
  <c r="H36"/>
  <c r="H35"/>
  <c r="N34"/>
  <c r="L33"/>
  <c r="H32"/>
  <c r="J31"/>
  <c r="L30"/>
  <c r="H29"/>
  <c r="J28"/>
  <c r="H27"/>
  <c r="H26"/>
  <c r="N25"/>
  <c r="H24"/>
  <c r="L23"/>
  <c r="H22"/>
  <c r="L21"/>
  <c r="J20"/>
  <c r="L19"/>
  <c r="N18"/>
  <c r="H17"/>
  <c r="H16"/>
  <c r="H14"/>
  <c r="N13"/>
  <c r="L12"/>
  <c r="L11"/>
  <c r="H10"/>
  <c r="J9"/>
  <c r="F46" i="3"/>
  <c r="F44"/>
  <c r="F45"/>
  <c r="F38"/>
  <c r="F36"/>
  <c r="F35"/>
  <c r="F32"/>
  <c r="F29"/>
  <c r="F26"/>
  <c r="F24"/>
  <c r="F22"/>
  <c r="F17"/>
  <c r="F16"/>
  <c r="F14"/>
  <c r="F10"/>
  <c r="F41"/>
  <c r="F27"/>
  <c r="F80"/>
  <c r="F79"/>
  <c r="F73"/>
  <c r="F70"/>
  <c r="F48"/>
  <c r="F25"/>
  <c r="F18"/>
  <c r="F13"/>
  <c r="F34"/>
  <c r="F51"/>
  <c r="F50"/>
  <c r="F49"/>
  <c r="F31"/>
  <c r="F28"/>
  <c r="F20"/>
  <c r="F9"/>
  <c r="F58"/>
  <c r="F56"/>
  <c r="F75"/>
  <c r="F91"/>
  <c r="F90"/>
  <c r="F89"/>
  <c r="F88"/>
  <c r="F87"/>
  <c r="F86"/>
  <c r="F85"/>
  <c r="F84"/>
  <c r="F83"/>
  <c r="F82"/>
  <c r="F81"/>
  <c r="F78"/>
  <c r="F76"/>
  <c r="F72"/>
  <c r="F71"/>
  <c r="F69"/>
  <c r="F68"/>
  <c r="F67"/>
  <c r="F66"/>
  <c r="F65"/>
  <c r="F64"/>
  <c r="F63"/>
  <c r="F62"/>
  <c r="F61"/>
  <c r="F60"/>
  <c r="F54"/>
  <c r="F53"/>
  <c r="F47"/>
  <c r="F40"/>
  <c r="F37"/>
  <c r="F30"/>
  <c r="F23"/>
  <c r="F21"/>
  <c r="F19"/>
  <c r="F15"/>
  <c r="F12"/>
  <c r="F11"/>
  <c r="F59"/>
  <c r="F57"/>
  <c r="F55"/>
  <c r="F52"/>
  <c r="F43"/>
  <c r="F42"/>
  <c r="F39"/>
  <c r="F33"/>
  <c r="F46" i="1"/>
  <c r="F45"/>
  <c r="F44"/>
  <c r="F38"/>
  <c r="F35"/>
  <c r="F32"/>
  <c r="F29"/>
  <c r="F26"/>
  <c r="F24"/>
  <c r="F22"/>
  <c r="F17"/>
  <c r="F16"/>
  <c r="F14"/>
  <c r="F10"/>
  <c r="I100" i="8" l="1"/>
  <c r="J9" i="7"/>
  <c r="N13"/>
  <c r="H17"/>
  <c r="L21"/>
  <c r="N25"/>
  <c r="H29"/>
  <c r="L33"/>
  <c r="L37"/>
  <c r="L40"/>
  <c r="H44"/>
  <c r="N48"/>
  <c r="L52"/>
  <c r="J58"/>
  <c r="L62"/>
  <c r="L66"/>
  <c r="N70"/>
  <c r="N79"/>
  <c r="M92" i="6"/>
  <c r="K92"/>
  <c r="I92" i="4"/>
  <c r="G92"/>
  <c r="K92"/>
  <c r="L15"/>
  <c r="M92"/>
  <c r="F41" i="1"/>
  <c r="F27"/>
  <c r="F80"/>
  <c r="F79"/>
  <c r="F73"/>
  <c r="F70"/>
  <c r="G92" i="7" l="1"/>
  <c r="K92"/>
  <c r="I92"/>
  <c r="M92"/>
  <c r="F34" i="1"/>
  <c r="F25"/>
  <c r="F18"/>
  <c r="F13"/>
  <c r="F48"/>
  <c r="F51"/>
  <c r="F50"/>
  <c r="F49"/>
  <c r="F31"/>
  <c r="F28"/>
  <c r="F20"/>
  <c r="F9"/>
  <c r="F58"/>
  <c r="F56"/>
  <c r="F75"/>
  <c r="F91"/>
  <c r="F90"/>
  <c r="F89"/>
  <c r="F88"/>
  <c r="F87"/>
  <c r="F86"/>
  <c r="F85"/>
  <c r="F84"/>
  <c r="F83"/>
  <c r="F82"/>
  <c r="F81"/>
  <c r="F78"/>
  <c r="F76"/>
  <c r="F72"/>
  <c r="F71"/>
  <c r="F69"/>
  <c r="F68"/>
  <c r="F67"/>
  <c r="F66"/>
  <c r="F65"/>
  <c r="F64"/>
  <c r="F63"/>
  <c r="F62"/>
  <c r="F61"/>
  <c r="F60"/>
  <c r="F54"/>
  <c r="F53"/>
  <c r="F47"/>
  <c r="F40"/>
  <c r="F37"/>
  <c r="F30"/>
  <c r="F23"/>
  <c r="F21"/>
  <c r="F19"/>
  <c r="F15"/>
  <c r="F12"/>
  <c r="F11"/>
  <c r="F59"/>
  <c r="F57"/>
  <c r="F55"/>
  <c r="F52"/>
  <c r="F43"/>
  <c r="F42"/>
  <c r="F39"/>
  <c r="F33"/>
  <c r="F58" i="2"/>
  <c r="F56"/>
  <c r="F50"/>
  <c r="F31"/>
  <c r="F28"/>
  <c r="F20"/>
  <c r="F9"/>
  <c r="F51"/>
  <c r="F48"/>
  <c r="F34"/>
  <c r="F25"/>
  <c r="F18"/>
  <c r="F13"/>
  <c r="F10"/>
  <c r="F70" l="1"/>
  <c r="F80"/>
  <c r="F79"/>
  <c r="F73"/>
  <c r="F46"/>
  <c r="F45"/>
  <c r="F44"/>
  <c r="F41"/>
  <c r="F38"/>
  <c r="H38" s="1"/>
  <c r="F35"/>
  <c r="F32"/>
  <c r="F29"/>
  <c r="F27"/>
  <c r="F26"/>
  <c r="F24"/>
  <c r="F22"/>
  <c r="F17"/>
  <c r="F16"/>
  <c r="F14"/>
  <c r="F36"/>
  <c r="C46" i="1"/>
  <c r="C46" i="2" s="1"/>
  <c r="C46" i="3" s="1"/>
  <c r="C46" i="4" s="1"/>
  <c r="C46" i="5" s="1"/>
  <c r="C46" i="6" s="1"/>
  <c r="C46" i="7" s="1"/>
  <c r="C24" i="1"/>
  <c r="H17"/>
  <c r="J20"/>
  <c r="L91" i="2"/>
  <c r="L89"/>
  <c r="L87"/>
  <c r="L85"/>
  <c r="L83"/>
  <c r="L81"/>
  <c r="L69"/>
  <c r="L67"/>
  <c r="L65"/>
  <c r="L63"/>
  <c r="L61"/>
  <c r="L59"/>
  <c r="L55"/>
  <c r="L53"/>
  <c r="L47"/>
  <c r="L39"/>
  <c r="L33"/>
  <c r="L23"/>
  <c r="L19"/>
  <c r="L15" i="1"/>
  <c r="L91" i="3"/>
  <c r="L90"/>
  <c r="L89"/>
  <c r="L88"/>
  <c r="L87"/>
  <c r="L86"/>
  <c r="L85"/>
  <c r="L84"/>
  <c r="L83"/>
  <c r="L82"/>
  <c r="L81"/>
  <c r="N80"/>
  <c r="N79"/>
  <c r="L78"/>
  <c r="H77"/>
  <c r="L76"/>
  <c r="L75"/>
  <c r="J74"/>
  <c r="N73"/>
  <c r="L72"/>
  <c r="L71"/>
  <c r="N70"/>
  <c r="L69"/>
  <c r="L68"/>
  <c r="L67"/>
  <c r="L66"/>
  <c r="L65"/>
  <c r="L64"/>
  <c r="L63"/>
  <c r="L62"/>
  <c r="L61"/>
  <c r="L60"/>
  <c r="L59"/>
  <c r="J58"/>
  <c r="L57"/>
  <c r="J56"/>
  <c r="L55"/>
  <c r="L54"/>
  <c r="L53"/>
  <c r="L52"/>
  <c r="J51"/>
  <c r="J50"/>
  <c r="J49"/>
  <c r="N48"/>
  <c r="L47"/>
  <c r="H46"/>
  <c r="H45"/>
  <c r="H44"/>
  <c r="L43"/>
  <c r="L42"/>
  <c r="H41"/>
  <c r="L40"/>
  <c r="L39"/>
  <c r="H38"/>
  <c r="L37"/>
  <c r="H36"/>
  <c r="H35"/>
  <c r="N34"/>
  <c r="L33"/>
  <c r="H32"/>
  <c r="J31"/>
  <c r="L30"/>
  <c r="H29"/>
  <c r="J28"/>
  <c r="H27"/>
  <c r="H26"/>
  <c r="N25"/>
  <c r="H24"/>
  <c r="L23"/>
  <c r="H22"/>
  <c r="L21"/>
  <c r="J20"/>
  <c r="L19"/>
  <c r="N18"/>
  <c r="H17"/>
  <c r="H16"/>
  <c r="L15"/>
  <c r="H14"/>
  <c r="N13"/>
  <c r="L12"/>
  <c r="L11"/>
  <c r="H10"/>
  <c r="J9"/>
  <c r="L90" i="2"/>
  <c r="L88"/>
  <c r="L86"/>
  <c r="L84"/>
  <c r="L82"/>
  <c r="N80"/>
  <c r="N79"/>
  <c r="L78"/>
  <c r="H77"/>
  <c r="L76"/>
  <c r="L75"/>
  <c r="J74"/>
  <c r="N73"/>
  <c r="L72"/>
  <c r="L71"/>
  <c r="N70"/>
  <c r="L68"/>
  <c r="L66"/>
  <c r="L64"/>
  <c r="L62"/>
  <c r="L60"/>
  <c r="J58"/>
  <c r="L57"/>
  <c r="J56"/>
  <c r="L54"/>
  <c r="L52"/>
  <c r="J51"/>
  <c r="J50"/>
  <c r="J49"/>
  <c r="N48"/>
  <c r="H46"/>
  <c r="H45"/>
  <c r="H44"/>
  <c r="L43"/>
  <c r="L42"/>
  <c r="H41"/>
  <c r="L40"/>
  <c r="L37"/>
  <c r="H36"/>
  <c r="H35"/>
  <c r="N34"/>
  <c r="H32"/>
  <c r="J31"/>
  <c r="L30"/>
  <c r="H29"/>
  <c r="J28"/>
  <c r="H27"/>
  <c r="H26"/>
  <c r="N25"/>
  <c r="H24"/>
  <c r="H22"/>
  <c r="L21"/>
  <c r="J20"/>
  <c r="N18"/>
  <c r="H17"/>
  <c r="H16"/>
  <c r="L15"/>
  <c r="H14"/>
  <c r="N13"/>
  <c r="L12"/>
  <c r="L11"/>
  <c r="H10"/>
  <c r="J9"/>
  <c r="N70" i="1"/>
  <c r="N73"/>
  <c r="N13"/>
  <c r="N18"/>
  <c r="N25"/>
  <c r="N34"/>
  <c r="N48"/>
  <c r="N79"/>
  <c r="N80"/>
  <c r="L11"/>
  <c r="L12"/>
  <c r="L19"/>
  <c r="L21"/>
  <c r="L23"/>
  <c r="L30"/>
  <c r="L33"/>
  <c r="L37"/>
  <c r="L39"/>
  <c r="L40"/>
  <c r="L42"/>
  <c r="L43"/>
  <c r="L47"/>
  <c r="L52"/>
  <c r="L53"/>
  <c r="L54"/>
  <c r="L55"/>
  <c r="L57"/>
  <c r="L59"/>
  <c r="L60"/>
  <c r="L61"/>
  <c r="L62"/>
  <c r="L63"/>
  <c r="L64"/>
  <c r="L65"/>
  <c r="L66"/>
  <c r="L67"/>
  <c r="L68"/>
  <c r="L69"/>
  <c r="L71"/>
  <c r="L72"/>
  <c r="L75"/>
  <c r="L76"/>
  <c r="L78"/>
  <c r="L81"/>
  <c r="L82"/>
  <c r="L83"/>
  <c r="L84"/>
  <c r="L85"/>
  <c r="L86"/>
  <c r="L87"/>
  <c r="L88"/>
  <c r="L89"/>
  <c r="L90"/>
  <c r="L91"/>
  <c r="J28"/>
  <c r="J31"/>
  <c r="J49"/>
  <c r="J50"/>
  <c r="J51"/>
  <c r="J56"/>
  <c r="J58"/>
  <c r="J74"/>
  <c r="H10"/>
  <c r="H14"/>
  <c r="H16"/>
  <c r="H22"/>
  <c r="H24"/>
  <c r="H26"/>
  <c r="H27"/>
  <c r="H29"/>
  <c r="H32"/>
  <c r="H35"/>
  <c r="H36"/>
  <c r="H38"/>
  <c r="H41"/>
  <c r="H44"/>
  <c r="H45"/>
  <c r="H46"/>
  <c r="H77"/>
  <c r="J9"/>
  <c r="C10"/>
  <c r="C10" i="2" s="1"/>
  <c r="C10" i="3" s="1"/>
  <c r="C10" i="4" s="1"/>
  <c r="C10" i="5" s="1"/>
  <c r="C10" i="6" s="1"/>
  <c r="C10" i="7" s="1"/>
  <c r="C11" i="1"/>
  <c r="C11" i="2" s="1"/>
  <c r="C11" i="3" s="1"/>
  <c r="C11" i="4" s="1"/>
  <c r="C11" i="5" s="1"/>
  <c r="C11" i="6" s="1"/>
  <c r="C11" i="7" s="1"/>
  <c r="C12" i="1"/>
  <c r="C12" i="2" s="1"/>
  <c r="C12" i="3" s="1"/>
  <c r="C12" i="4" s="1"/>
  <c r="C12" i="5" s="1"/>
  <c r="C12" i="6" s="1"/>
  <c r="C12" i="7" s="1"/>
  <c r="C13" i="1"/>
  <c r="C13" i="2" s="1"/>
  <c r="C13" i="3" s="1"/>
  <c r="C13" i="4" s="1"/>
  <c r="C13" i="5" s="1"/>
  <c r="C13" i="6" s="1"/>
  <c r="C13" i="7" s="1"/>
  <c r="C14" i="1"/>
  <c r="C14" i="2" s="1"/>
  <c r="C14" i="3" s="1"/>
  <c r="C14" i="4" s="1"/>
  <c r="C14" i="5" s="1"/>
  <c r="C14" i="6" s="1"/>
  <c r="C14" i="7" s="1"/>
  <c r="C15" i="1"/>
  <c r="C15" i="2" s="1"/>
  <c r="C15" i="3" s="1"/>
  <c r="C15" i="4" s="1"/>
  <c r="C15" i="5" s="1"/>
  <c r="C15" i="6" s="1"/>
  <c r="C15" i="7" s="1"/>
  <c r="C16" i="1"/>
  <c r="C16" i="2" s="1"/>
  <c r="C16" i="3" s="1"/>
  <c r="C16" i="4" s="1"/>
  <c r="C16" i="5" s="1"/>
  <c r="C16" i="6" s="1"/>
  <c r="C16" i="7" s="1"/>
  <c r="C17" i="1"/>
  <c r="C17" i="2" s="1"/>
  <c r="C17" i="3" s="1"/>
  <c r="C17" i="4" s="1"/>
  <c r="C17" i="5" s="1"/>
  <c r="C17" i="6" s="1"/>
  <c r="C17" i="7" s="1"/>
  <c r="C18" i="1"/>
  <c r="C18" i="2" s="1"/>
  <c r="C18" i="3" s="1"/>
  <c r="C18" i="4" s="1"/>
  <c r="C18" i="5" s="1"/>
  <c r="C18" i="6" s="1"/>
  <c r="C18" i="7" s="1"/>
  <c r="C19" i="1"/>
  <c r="C21"/>
  <c r="C21" i="2" s="1"/>
  <c r="C21" i="3" s="1"/>
  <c r="C21" i="4" s="1"/>
  <c r="C21" i="5" s="1"/>
  <c r="C21" i="6" s="1"/>
  <c r="C21" i="7" s="1"/>
  <c r="C22" i="1"/>
  <c r="C22" i="2" s="1"/>
  <c r="C22" i="3" s="1"/>
  <c r="C22" i="4" s="1"/>
  <c r="C22" i="5" s="1"/>
  <c r="C22" i="6" s="1"/>
  <c r="C22" i="7" s="1"/>
  <c r="C23" i="1"/>
  <c r="C25"/>
  <c r="C25" i="2" s="1"/>
  <c r="C25" i="3" s="1"/>
  <c r="C25" i="4" s="1"/>
  <c r="C25" i="5" s="1"/>
  <c r="C25" i="6" s="1"/>
  <c r="C25" i="7" s="1"/>
  <c r="C26" i="1"/>
  <c r="C26" i="2" s="1"/>
  <c r="C26" i="3" s="1"/>
  <c r="C26" i="4" s="1"/>
  <c r="C26" i="5" s="1"/>
  <c r="C26" i="6" s="1"/>
  <c r="C26" i="7" s="1"/>
  <c r="C27" i="1"/>
  <c r="C27" i="2" s="1"/>
  <c r="C27" i="3" s="1"/>
  <c r="C27" i="4" s="1"/>
  <c r="C27" i="5" s="1"/>
  <c r="C27" i="6" s="1"/>
  <c r="C27" i="7" s="1"/>
  <c r="C28" i="1"/>
  <c r="C28" i="2" s="1"/>
  <c r="C28" i="3" s="1"/>
  <c r="C28" i="4" s="1"/>
  <c r="C28" i="5" s="1"/>
  <c r="C28" i="6" s="1"/>
  <c r="C28" i="7" s="1"/>
  <c r="C29" i="1"/>
  <c r="C29" i="2" s="1"/>
  <c r="C29" i="3" s="1"/>
  <c r="C29" i="4" s="1"/>
  <c r="C29" i="5" s="1"/>
  <c r="C29" i="6" s="1"/>
  <c r="C29" i="7" s="1"/>
  <c r="C30" i="1"/>
  <c r="C30" i="2" s="1"/>
  <c r="C30" i="3" s="1"/>
  <c r="C30" i="4" s="1"/>
  <c r="C30" i="5" s="1"/>
  <c r="C30" i="6" s="1"/>
  <c r="C30" i="7" s="1"/>
  <c r="C31" i="1"/>
  <c r="C31" i="2" s="1"/>
  <c r="C31" i="3" s="1"/>
  <c r="C31" i="4" s="1"/>
  <c r="C31" i="5" s="1"/>
  <c r="C31" i="6" s="1"/>
  <c r="C31" i="7" s="1"/>
  <c r="C32" i="1"/>
  <c r="C32" i="2" s="1"/>
  <c r="C32" i="3" s="1"/>
  <c r="C32" i="4" s="1"/>
  <c r="C32" i="5" s="1"/>
  <c r="C32" i="6" s="1"/>
  <c r="C32" i="7" s="1"/>
  <c r="C33" i="1"/>
  <c r="C34"/>
  <c r="C34" i="2" s="1"/>
  <c r="C34" i="3" s="1"/>
  <c r="C34" i="4" s="1"/>
  <c r="C34" i="5" s="1"/>
  <c r="C34" i="6" s="1"/>
  <c r="C34" i="7" s="1"/>
  <c r="C35" i="1"/>
  <c r="C35" i="2" s="1"/>
  <c r="C35" i="3" s="1"/>
  <c r="C35" i="4" s="1"/>
  <c r="C35" i="5" s="1"/>
  <c r="C35" i="6" s="1"/>
  <c r="C35" i="7" s="1"/>
  <c r="C36" i="1"/>
  <c r="C37"/>
  <c r="C37" i="2" s="1"/>
  <c r="C37" i="3" s="1"/>
  <c r="C37" i="4" s="1"/>
  <c r="C37" i="5" s="1"/>
  <c r="C37" i="6" s="1"/>
  <c r="C37" i="7" s="1"/>
  <c r="C38" i="1"/>
  <c r="C38" i="2" s="1"/>
  <c r="C38" i="3" s="1"/>
  <c r="C38" i="4" s="1"/>
  <c r="C38" i="5" s="1"/>
  <c r="C38" i="6" s="1"/>
  <c r="C38" i="7" s="1"/>
  <c r="C39" i="1"/>
  <c r="C40"/>
  <c r="C40" i="2" s="1"/>
  <c r="C40" i="3" s="1"/>
  <c r="C40" i="4" s="1"/>
  <c r="C40" i="5" s="1"/>
  <c r="C40" i="6" s="1"/>
  <c r="C40" i="7" s="1"/>
  <c r="C41" i="1"/>
  <c r="C41" i="2" s="1"/>
  <c r="C41" i="3" s="1"/>
  <c r="C41" i="4" s="1"/>
  <c r="C41" i="5" s="1"/>
  <c r="C41" i="6" s="1"/>
  <c r="C41" i="7" s="1"/>
  <c r="C42" i="1"/>
  <c r="C42" i="2" s="1"/>
  <c r="C42" i="3" s="1"/>
  <c r="C42" i="4" s="1"/>
  <c r="C42" i="5" s="1"/>
  <c r="C42" i="6" s="1"/>
  <c r="C42" i="7" s="1"/>
  <c r="C43" i="1"/>
  <c r="C43" i="2" s="1"/>
  <c r="C43" i="3" s="1"/>
  <c r="C43" i="4" s="1"/>
  <c r="C43" i="5" s="1"/>
  <c r="C43" i="6" s="1"/>
  <c r="C43" i="7" s="1"/>
  <c r="C44" i="1"/>
  <c r="C44" i="2" s="1"/>
  <c r="C44" i="3" s="1"/>
  <c r="C44" i="4" s="1"/>
  <c r="C44" i="5" s="1"/>
  <c r="C44" i="6" s="1"/>
  <c r="C44" i="7" s="1"/>
  <c r="C45" i="1"/>
  <c r="C45" i="2" s="1"/>
  <c r="C45" i="3" s="1"/>
  <c r="C45" i="4" s="1"/>
  <c r="C45" i="5" s="1"/>
  <c r="C45" i="6" s="1"/>
  <c r="C45" i="7" s="1"/>
  <c r="C47" i="1"/>
  <c r="C48"/>
  <c r="C48" i="2" s="1"/>
  <c r="C48" i="3" s="1"/>
  <c r="C48" i="4" s="1"/>
  <c r="C48" i="5" s="1"/>
  <c r="C48" i="6" s="1"/>
  <c r="C48" i="7" s="1"/>
  <c r="C49" i="1"/>
  <c r="C49" i="2" s="1"/>
  <c r="C49" i="3" s="1"/>
  <c r="C49" i="4" s="1"/>
  <c r="C49" i="5" s="1"/>
  <c r="C49" i="6" s="1"/>
  <c r="C49" i="7" s="1"/>
  <c r="C50" i="1"/>
  <c r="C50" i="2" s="1"/>
  <c r="C50" i="3" s="1"/>
  <c r="C50" i="4" s="1"/>
  <c r="C50" i="5" s="1"/>
  <c r="C50" i="6" s="1"/>
  <c r="C50" i="7" s="1"/>
  <c r="C51" i="1"/>
  <c r="C51" i="2" s="1"/>
  <c r="C51" i="3" s="1"/>
  <c r="C51" i="4" s="1"/>
  <c r="C51" i="5" s="1"/>
  <c r="C51" i="6" s="1"/>
  <c r="C51" i="7" s="1"/>
  <c r="C52" i="1"/>
  <c r="C52" i="2" s="1"/>
  <c r="C52" i="3" s="1"/>
  <c r="C52" i="4" s="1"/>
  <c r="C52" i="5" s="1"/>
  <c r="C52" i="6" s="1"/>
  <c r="C52" i="7" s="1"/>
  <c r="C53" i="1"/>
  <c r="C54"/>
  <c r="C54" i="2" s="1"/>
  <c r="C54" i="3" s="1"/>
  <c r="C54" i="4" s="1"/>
  <c r="C54" i="5" s="1"/>
  <c r="C54" i="6" s="1"/>
  <c r="C54" i="7" s="1"/>
  <c r="C55" i="1"/>
  <c r="C56"/>
  <c r="C56" i="2" s="1"/>
  <c r="C56" i="3" s="1"/>
  <c r="C56" i="4" s="1"/>
  <c r="C56" i="5" s="1"/>
  <c r="C56" i="6" s="1"/>
  <c r="C56" i="7" s="1"/>
  <c r="C57" i="1"/>
  <c r="C57" i="2" s="1"/>
  <c r="C57" i="3" s="1"/>
  <c r="C57" i="4" s="1"/>
  <c r="C57" i="5" s="1"/>
  <c r="C57" i="6" s="1"/>
  <c r="C57" i="7" s="1"/>
  <c r="C58" i="1"/>
  <c r="C58" i="2" s="1"/>
  <c r="C58" i="3" s="1"/>
  <c r="C58" i="4" s="1"/>
  <c r="C58" i="5" s="1"/>
  <c r="C58" i="6" s="1"/>
  <c r="C58" i="7" s="1"/>
  <c r="C59" i="1"/>
  <c r="C60"/>
  <c r="C60" i="2" s="1"/>
  <c r="C60" i="3" s="1"/>
  <c r="C60" i="4" s="1"/>
  <c r="C60" i="5" s="1"/>
  <c r="C60" i="6" s="1"/>
  <c r="C60" i="7" s="1"/>
  <c r="C61" i="1"/>
  <c r="C62"/>
  <c r="C62" i="2" s="1"/>
  <c r="C62" i="3" s="1"/>
  <c r="C62" i="4" s="1"/>
  <c r="C62" i="5" s="1"/>
  <c r="C62" i="6" s="1"/>
  <c r="C62" i="7" s="1"/>
  <c r="C63" i="1"/>
  <c r="C64"/>
  <c r="C64" i="2" s="1"/>
  <c r="C64" i="3" s="1"/>
  <c r="C64" i="4" s="1"/>
  <c r="C64" i="5" s="1"/>
  <c r="C64" i="6" s="1"/>
  <c r="C64" i="7" s="1"/>
  <c r="C65" i="1"/>
  <c r="C66"/>
  <c r="C66" i="2" s="1"/>
  <c r="C66" i="3" s="1"/>
  <c r="C66" i="4" s="1"/>
  <c r="C66" i="5" s="1"/>
  <c r="C66" i="6" s="1"/>
  <c r="C66" i="7" s="1"/>
  <c r="C67" i="1"/>
  <c r="C68"/>
  <c r="C68" i="2" s="1"/>
  <c r="C68" i="3" s="1"/>
  <c r="C68" i="4" s="1"/>
  <c r="C68" i="5" s="1"/>
  <c r="C68" i="6" s="1"/>
  <c r="C68" i="7" s="1"/>
  <c r="C69" i="1"/>
  <c r="C70"/>
  <c r="C70" i="2" s="1"/>
  <c r="C70" i="3" s="1"/>
  <c r="C70" i="4" s="1"/>
  <c r="C70" i="5" s="1"/>
  <c r="C70" i="6" s="1"/>
  <c r="C70" i="7" s="1"/>
  <c r="C71" i="1"/>
  <c r="C71" i="2" s="1"/>
  <c r="C71" i="3" s="1"/>
  <c r="C71" i="4" s="1"/>
  <c r="C71" i="5" s="1"/>
  <c r="C71" i="6" s="1"/>
  <c r="C71" i="7" s="1"/>
  <c r="C72" i="1"/>
  <c r="C72" i="2" s="1"/>
  <c r="C72" i="3" s="1"/>
  <c r="C72" i="4" s="1"/>
  <c r="C72" i="5" s="1"/>
  <c r="C72" i="6" s="1"/>
  <c r="C72" i="7" s="1"/>
  <c r="C73" i="1"/>
  <c r="C73" i="2" s="1"/>
  <c r="C73" i="3" s="1"/>
  <c r="C73" i="4" s="1"/>
  <c r="C73" i="5" s="1"/>
  <c r="C73" i="6" s="1"/>
  <c r="C73" i="7" s="1"/>
  <c r="C74" i="1"/>
  <c r="C74" i="2" s="1"/>
  <c r="C74" i="3" s="1"/>
  <c r="C74" i="4" s="1"/>
  <c r="C74" i="5" s="1"/>
  <c r="C74" i="6" s="1"/>
  <c r="C74" i="7" s="1"/>
  <c r="C75" i="1"/>
  <c r="C75" i="2" s="1"/>
  <c r="C75" i="3" s="1"/>
  <c r="C75" i="4" s="1"/>
  <c r="C75" i="5" s="1"/>
  <c r="C75" i="6" s="1"/>
  <c r="C75" i="7" s="1"/>
  <c r="C76" i="1"/>
  <c r="C76" i="2" s="1"/>
  <c r="C76" i="3" s="1"/>
  <c r="C76" i="4" s="1"/>
  <c r="C76" i="5" s="1"/>
  <c r="C76" i="6" s="1"/>
  <c r="C76" i="7" s="1"/>
  <c r="C77" i="1"/>
  <c r="C77" i="2" s="1"/>
  <c r="C77" i="3" s="1"/>
  <c r="C77" i="4" s="1"/>
  <c r="C77" i="5" s="1"/>
  <c r="C77" i="6" s="1"/>
  <c r="C77" i="7" s="1"/>
  <c r="C78" i="1"/>
  <c r="C78" i="2" s="1"/>
  <c r="C78" i="3" s="1"/>
  <c r="C78" i="4" s="1"/>
  <c r="C78" i="5" s="1"/>
  <c r="C78" i="6" s="1"/>
  <c r="C78" i="7" s="1"/>
  <c r="C79" i="1"/>
  <c r="C80"/>
  <c r="C80" i="2" s="1"/>
  <c r="C80" i="3" s="1"/>
  <c r="C80" i="4" s="1"/>
  <c r="C80" i="5" s="1"/>
  <c r="C80" i="6" s="1"/>
  <c r="C80" i="7" s="1"/>
  <c r="C81" i="1"/>
  <c r="C82"/>
  <c r="C82" i="2" s="1"/>
  <c r="C82" i="3" s="1"/>
  <c r="C82" i="4" s="1"/>
  <c r="C82" i="5" s="1"/>
  <c r="C82" i="6" s="1"/>
  <c r="C82" i="7" s="1"/>
  <c r="C83" i="1"/>
  <c r="C84"/>
  <c r="C84" i="2" s="1"/>
  <c r="C84" i="3" s="1"/>
  <c r="C84" i="4" s="1"/>
  <c r="C84" i="5" s="1"/>
  <c r="C84" i="6" s="1"/>
  <c r="C84" i="7" s="1"/>
  <c r="C85" i="1"/>
  <c r="C86"/>
  <c r="C86" i="2" s="1"/>
  <c r="C86" i="3" s="1"/>
  <c r="C86" i="4" s="1"/>
  <c r="C86" i="5" s="1"/>
  <c r="C86" i="6" s="1"/>
  <c r="C86" i="7" s="1"/>
  <c r="C87" i="1"/>
  <c r="C88"/>
  <c r="C88" i="2" s="1"/>
  <c r="C88" i="3" s="1"/>
  <c r="C88" i="4" s="1"/>
  <c r="C88" i="5" s="1"/>
  <c r="C88" i="6" s="1"/>
  <c r="C88" i="7" s="1"/>
  <c r="C89" i="1"/>
  <c r="C90"/>
  <c r="C90" i="2" s="1"/>
  <c r="C90" i="3" s="1"/>
  <c r="C90" i="4" s="1"/>
  <c r="C90" i="5" s="1"/>
  <c r="C90" i="6" s="1"/>
  <c r="C90" i="7" s="1"/>
  <c r="C91" i="1"/>
  <c r="C9"/>
  <c r="C9" i="2" s="1"/>
  <c r="C9" i="3" s="1"/>
  <c r="C9" i="4" s="1"/>
  <c r="C9" i="5" s="1"/>
  <c r="C9" i="6" s="1"/>
  <c r="C9" i="7" s="1"/>
  <c r="G92" i="3" l="1"/>
  <c r="I92"/>
  <c r="M92"/>
  <c r="K92"/>
  <c r="C79" i="2"/>
  <c r="C79" i="3" s="1"/>
  <c r="C79" i="4" s="1"/>
  <c r="C79" i="5" s="1"/>
  <c r="C79" i="6" s="1"/>
  <c r="C79" i="7" s="1"/>
  <c r="C24" i="2"/>
  <c r="C24" i="3" s="1"/>
  <c r="C24" i="4" s="1"/>
  <c r="C24" i="5" s="1"/>
  <c r="C24" i="6" s="1"/>
  <c r="C24" i="7" s="1"/>
  <c r="C36" i="2"/>
  <c r="C36" i="3" s="1"/>
  <c r="C36" i="4" s="1"/>
  <c r="C36" i="5" s="1"/>
  <c r="C36" i="6" s="1"/>
  <c r="C36" i="7" s="1"/>
  <c r="G92" i="2"/>
  <c r="I92" i="1"/>
  <c r="C20"/>
  <c r="C20" i="2" s="1"/>
  <c r="C20" i="3" s="1"/>
  <c r="C20" i="4" s="1"/>
  <c r="C20" i="5" s="1"/>
  <c r="C20" i="6" s="1"/>
  <c r="C20" i="7" s="1"/>
  <c r="C91" i="2"/>
  <c r="C91" i="3" s="1"/>
  <c r="C91" i="4" s="1"/>
  <c r="C91" i="5" s="1"/>
  <c r="C91" i="6" s="1"/>
  <c r="C91" i="7" s="1"/>
  <c r="C89" i="2"/>
  <c r="C89" i="3" s="1"/>
  <c r="C89" i="4" s="1"/>
  <c r="C89" i="5" s="1"/>
  <c r="C89" i="6" s="1"/>
  <c r="C89" i="7" s="1"/>
  <c r="C87" i="2"/>
  <c r="C87" i="3" s="1"/>
  <c r="C87" i="4" s="1"/>
  <c r="C87" i="5" s="1"/>
  <c r="C87" i="6" s="1"/>
  <c r="C87" i="7" s="1"/>
  <c r="C85" i="2"/>
  <c r="C85" i="3" s="1"/>
  <c r="C85" i="4" s="1"/>
  <c r="C85" i="5" s="1"/>
  <c r="C85" i="6" s="1"/>
  <c r="C85" i="7" s="1"/>
  <c r="C83" i="2"/>
  <c r="C83" i="3" s="1"/>
  <c r="C83" i="4" s="1"/>
  <c r="C83" i="5" s="1"/>
  <c r="C83" i="6" s="1"/>
  <c r="C83" i="7" s="1"/>
  <c r="C81" i="2"/>
  <c r="C81" i="3" s="1"/>
  <c r="C81" i="4" s="1"/>
  <c r="C81" i="5" s="1"/>
  <c r="C81" i="6" s="1"/>
  <c r="C81" i="7" s="1"/>
  <c r="C69" i="2"/>
  <c r="C69" i="3" s="1"/>
  <c r="C69" i="4" s="1"/>
  <c r="C69" i="5" s="1"/>
  <c r="C69" i="6" s="1"/>
  <c r="C69" i="7" s="1"/>
  <c r="C67" i="2"/>
  <c r="C67" i="3" s="1"/>
  <c r="C67" i="4" s="1"/>
  <c r="C67" i="5" s="1"/>
  <c r="C67" i="6" s="1"/>
  <c r="C67" i="7" s="1"/>
  <c r="C65" i="2"/>
  <c r="C65" i="3" s="1"/>
  <c r="C65" i="4" s="1"/>
  <c r="C65" i="5" s="1"/>
  <c r="C65" i="6" s="1"/>
  <c r="C65" i="7" s="1"/>
  <c r="C63" i="2"/>
  <c r="C63" i="3" s="1"/>
  <c r="C63" i="4" s="1"/>
  <c r="C63" i="5" s="1"/>
  <c r="C63" i="6" s="1"/>
  <c r="C63" i="7" s="1"/>
  <c r="C61" i="2"/>
  <c r="C61" i="3" s="1"/>
  <c r="C61" i="4" s="1"/>
  <c r="C61" i="5" s="1"/>
  <c r="C61" i="6" s="1"/>
  <c r="C61" i="7" s="1"/>
  <c r="C59" i="2"/>
  <c r="C59" i="3" s="1"/>
  <c r="C59" i="4" s="1"/>
  <c r="C59" i="5" s="1"/>
  <c r="C59" i="6" s="1"/>
  <c r="C59" i="7" s="1"/>
  <c r="C55" i="2"/>
  <c r="C55" i="3" s="1"/>
  <c r="C55" i="4" s="1"/>
  <c r="C55" i="5" s="1"/>
  <c r="C55" i="6" s="1"/>
  <c r="C55" i="7" s="1"/>
  <c r="C53" i="2"/>
  <c r="C53" i="3" s="1"/>
  <c r="C53" i="4" s="1"/>
  <c r="C53" i="5" s="1"/>
  <c r="C53" i="6" s="1"/>
  <c r="C53" i="7" s="1"/>
  <c r="C47" i="2"/>
  <c r="C47" i="3" s="1"/>
  <c r="C47" i="4" s="1"/>
  <c r="C47" i="5" s="1"/>
  <c r="C47" i="6" s="1"/>
  <c r="C47" i="7" s="1"/>
  <c r="C39" i="2"/>
  <c r="C39" i="3" s="1"/>
  <c r="C39" i="4" s="1"/>
  <c r="C39" i="5" s="1"/>
  <c r="C39" i="6" s="1"/>
  <c r="C39" i="7" s="1"/>
  <c r="C33" i="2"/>
  <c r="C33" i="3" s="1"/>
  <c r="C33" i="4" s="1"/>
  <c r="C33" i="5" s="1"/>
  <c r="C33" i="6" s="1"/>
  <c r="C33" i="7" s="1"/>
  <c r="C23" i="2"/>
  <c r="C23" i="3" s="1"/>
  <c r="C23" i="4" s="1"/>
  <c r="C23" i="5" s="1"/>
  <c r="C23" i="6" s="1"/>
  <c r="C23" i="7" s="1"/>
  <c r="C19" i="2"/>
  <c r="C19" i="3" s="1"/>
  <c r="C19" i="4" s="1"/>
  <c r="C19" i="5" s="1"/>
  <c r="C19" i="6" s="1"/>
  <c r="C19" i="7" s="1"/>
  <c r="I92" i="2"/>
  <c r="K92"/>
  <c r="M92"/>
  <c r="K92" i="1"/>
  <c r="M92"/>
  <c r="G92"/>
</calcChain>
</file>

<file path=xl/sharedStrings.xml><?xml version="1.0" encoding="utf-8"?>
<sst xmlns="http://schemas.openxmlformats.org/spreadsheetml/2006/main" count="3308" uniqueCount="233">
  <si>
    <t>PREFEITURA MUNICIPAL DE SANTO ANTÔNIO DE PÁDUA</t>
  </si>
  <si>
    <t>MUNICÍPIO DE SANTO ANTÔNIO DE PÁDUA</t>
  </si>
  <si>
    <t>ÓRGÃO GERENCIADOR</t>
  </si>
  <si>
    <t>ITEM</t>
  </si>
  <si>
    <t>QUANT</t>
  </si>
  <si>
    <t>REST.</t>
  </si>
  <si>
    <t>UNI</t>
  </si>
  <si>
    <t>DESCRIÇÃO</t>
  </si>
  <si>
    <t>Solicitações</t>
  </si>
  <si>
    <t>NOROESTE</t>
  </si>
  <si>
    <t>CENTRO</t>
  </si>
  <si>
    <t>NOBREZAS</t>
  </si>
  <si>
    <t>UNIT</t>
  </si>
  <si>
    <t>TOTAL</t>
  </si>
  <si>
    <t>001</t>
  </si>
  <si>
    <t>kg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</si>
  <si>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</si>
  <si>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</si>
  <si>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</si>
  <si>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</si>
  <si>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</si>
  <si>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</si>
  <si>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</si>
  <si>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</si>
  <si>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</si>
  <si>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</si>
  <si>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</si>
  <si>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Óleo de soja (900ml)</t>
  </si>
  <si>
    <t>013</t>
  </si>
  <si>
    <t>014</t>
  </si>
  <si>
    <t>015</t>
  </si>
  <si>
    <t>016</t>
  </si>
  <si>
    <t>017</t>
  </si>
  <si>
    <t>Arroz Tipo 1, Polido Fino</t>
  </si>
  <si>
    <t>Feijão Preto Tipo 1 – Acondicionado em pacote de 1kg</t>
  </si>
  <si>
    <t>Embal.</t>
  </si>
  <si>
    <t>Macarrão tipo espaguete – Acondicionado em pacote de 500 g</t>
  </si>
  <si>
    <t>Sal   – Acondicionado em pacote de 1kg</t>
  </si>
  <si>
    <t>Açúcar Cristal – Acondicionado em pacote de 2kg</t>
  </si>
  <si>
    <t>Kg</t>
  </si>
  <si>
    <t>Farinha De Mandioca – Acondicionado em pacote de 1 kg</t>
  </si>
  <si>
    <t>Farinha de Trigo – Acondicionado em pacote de 1 kg</t>
  </si>
  <si>
    <t>Biscoito De Maisena (emb. a partir de 370 gramas)</t>
  </si>
  <si>
    <t>Biscoito água e sal (emb. a partir de 370 gramas)</t>
  </si>
  <si>
    <t>Unid</t>
  </si>
  <si>
    <t>Margarina Com Sal (Embalagem 500g)</t>
  </si>
  <si>
    <t>Duzia</t>
  </si>
  <si>
    <t>Ovo De Galinha - Dúzia</t>
  </si>
  <si>
    <t>Carne Moída KG</t>
  </si>
  <si>
    <t>Massa de tomate (340g) acondicionada em sachê</t>
  </si>
  <si>
    <t>Fubá de milho (embalagem 1kg)</t>
  </si>
  <si>
    <t>Suco de caju concentrado (embalagem 500 ml)</t>
  </si>
  <si>
    <t>Suco de uva concentrado (embalagem 500 ml)</t>
  </si>
  <si>
    <t>Suco de maracujá concentrado (embalagem 500 ml)</t>
  </si>
  <si>
    <t>KG</t>
  </si>
  <si>
    <t>Coxa e sobre coxa de frango com osso</t>
  </si>
  <si>
    <t>Carne bovina (chã de dentro) bife</t>
  </si>
  <si>
    <t>Carne de porco em bife</t>
  </si>
  <si>
    <t xml:space="preserve">Filé de peixe – Merluza </t>
  </si>
  <si>
    <t>Carne bovina (patinho) picada</t>
  </si>
  <si>
    <t>Peito de Frango sem osso</t>
  </si>
  <si>
    <t xml:space="preserve">Lingüiça de carne suína </t>
  </si>
  <si>
    <t>Pó De Café Torrado E Moído Com Selo ABIC</t>
  </si>
  <si>
    <t>Emb</t>
  </si>
  <si>
    <t>Colorau (100g)</t>
  </si>
  <si>
    <t>Fermento em pó (embalagem de 250g)</t>
  </si>
  <si>
    <t xml:space="preserve">Milho para pipoca, grupo duro, classe amarela, tipo 1 </t>
  </si>
  <si>
    <t>Caldo de carne, em tablete (caixa com 2 unid)</t>
  </si>
  <si>
    <t>Mortadela comum</t>
  </si>
  <si>
    <t>Tempero Para Carnes Acondicionado Em Sache (60g)</t>
  </si>
  <si>
    <t>Goiabada cascão kg</t>
  </si>
  <si>
    <t>Maionese (Sachê. 500g)</t>
  </si>
  <si>
    <t>Doce de leite em barra</t>
  </si>
  <si>
    <t>Creme de leite (embalagem tetrapak 200g)</t>
  </si>
  <si>
    <t>Leite condensado (embalagem tetrapak 270g )</t>
  </si>
  <si>
    <t>Salsicha tipo hot dog</t>
  </si>
  <si>
    <t>Pão careca para Hot dog – acondicionado em embal. plástica de 380g</t>
  </si>
  <si>
    <t>Achocolatado em pó</t>
  </si>
  <si>
    <t>Gelatina 35g</t>
  </si>
  <si>
    <t xml:space="preserve">Canjiquinha - Acondicionado em pacote de 1kg
</t>
  </si>
  <si>
    <t xml:space="preserve">Maço de fósforos com 10 caixas contendo 40 palitos de segurança
</t>
  </si>
  <si>
    <t xml:space="preserve">Batata palha </t>
  </si>
  <si>
    <t>Fardo</t>
  </si>
  <si>
    <t xml:space="preserve">Fardo de Refrigerante de Cola com 6 garrafas com capacidade 2l 
</t>
  </si>
  <si>
    <t xml:space="preserve">Fardo de Refrigerante de guaraná com 6 garrafas com capacidade 2l 
</t>
  </si>
  <si>
    <t>Nuggets de frango tradicional – carne de frango temperada, cozida, empanada e congelada</t>
  </si>
  <si>
    <t xml:space="preserve">Canjica branca - Acondicionado em pacote de 500g
</t>
  </si>
  <si>
    <t xml:space="preserve">Amendoim torrado -  Acondicionado em pacote de 500g </t>
  </si>
  <si>
    <t>Coco ralado umido e adoçado – embalagem 100g</t>
  </si>
  <si>
    <t>Caixa</t>
  </si>
  <si>
    <t>Sardinha em lata de 125g com óleo Ingredientes: sardinhas água de constituição (ao próprio suco), óleo comestível e sal. Caixa com 50 unid.</t>
  </si>
  <si>
    <t>Copo descartável branco capacidade 200 ml – embal com 100 unid</t>
  </si>
  <si>
    <t>Prato descartável branco redondo para refeição 18 cm  -  embal com 10 unid</t>
  </si>
  <si>
    <t>Prato descartável branco redondo para refeição 26 cm  -  embal com 10 unid</t>
  </si>
  <si>
    <t>Copo descartável branco capacidade 300 ml –  embal com 100 unid</t>
  </si>
  <si>
    <t>Guardanapo de papel folha simples 20 x 22 cm – embalagem com 50 unid</t>
  </si>
  <si>
    <t>Garfo plástico transparente para sobremesa  – embalagem com 50 unid</t>
  </si>
  <si>
    <t>faca plástica transparente para refeição  – embalagem com 50 unid</t>
  </si>
  <si>
    <t>Garfo plástico transparente para refeição  – embalagem com 50 unid</t>
  </si>
  <si>
    <t>Colher plástica transparente para refeição  – embalagem com 50 unid</t>
  </si>
  <si>
    <t>Prato térmico descartável em isopor 150X47 mm - embalagem 20 unid</t>
  </si>
  <si>
    <t>Saco de chão – a partir de 40 x 60 cm</t>
  </si>
  <si>
    <t>unid</t>
  </si>
  <si>
    <t xml:space="preserve">Vassoura tipo gari, cepa de madeira 37,5 cm
</t>
  </si>
  <si>
    <t>Balde capacidade mínima 9L</t>
  </si>
  <si>
    <t>Saco de lixo capacidade 100l – Rolo com 25 sacos</t>
  </si>
  <si>
    <t xml:space="preserve">Rodo 40 cm  c/cabo de madeira 
plastificado
</t>
  </si>
  <si>
    <t xml:space="preserve">Vassoura piaçava natural c/cabo de madeira 
plastificado 120 cm
</t>
  </si>
  <si>
    <t>Pá de lixo em plástico</t>
  </si>
  <si>
    <t>Cesto de lixo de plástico telado capacidade 9 L</t>
  </si>
  <si>
    <t>Cesto de roupa com alça – capacidade 40 l</t>
  </si>
  <si>
    <t>Desinfetante 2l</t>
  </si>
  <si>
    <t>Detergente em pó 1kg</t>
  </si>
  <si>
    <t>Sabão em barra 200 g</t>
  </si>
  <si>
    <t>Cloro liquido 2 l</t>
  </si>
  <si>
    <t xml:space="preserve">Bucha de cozinha </t>
  </si>
  <si>
    <t>Detergente 500 ml</t>
  </si>
  <si>
    <t>Palha de aço – pacote 60 g</t>
  </si>
  <si>
    <t>Desengordurante limpador de uso geral - 500 ml</t>
  </si>
  <si>
    <t xml:space="preserve">Flanela de limpeza </t>
  </si>
  <si>
    <t>Embal</t>
  </si>
  <si>
    <t>Pano para limpeza multiuso com furos absorventes – embal com 5 unid</t>
  </si>
  <si>
    <t>Essência de eucalipto 120 ml</t>
  </si>
  <si>
    <t xml:space="preserve">Pano de prato branco </t>
  </si>
  <si>
    <t>Lustra móveis – 200 ml</t>
  </si>
  <si>
    <t>GENÊROS ALIMENTÍCIOS - PROGRAMAS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</si>
  <si>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</si>
  <si>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</si>
  <si>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</si>
  <si>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</si>
  <si>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</si>
  <si>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</si>
  <si>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</si>
  <si>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</si>
  <si>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</si>
  <si>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</si>
  <si>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</si>
  <si>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</si>
  <si>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</si>
  <si>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</si>
  <si>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</si>
  <si>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</si>
  <si>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</si>
  <si>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</si>
  <si>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</si>
  <si>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</si>
  <si>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</si>
  <si>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</si>
  <si>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</si>
  <si>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</si>
  <si>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</si>
  <si>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</si>
  <si>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</si>
  <si>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</si>
  <si>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</si>
  <si>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</si>
  <si>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</si>
  <si>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</si>
  <si>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</si>
  <si>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</si>
  <si>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</si>
  <si>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</si>
  <si>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</si>
  <si>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</si>
  <si>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</si>
  <si>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</si>
  <si>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</si>
  <si>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</si>
  <si>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</si>
  <si>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</si>
  <si>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</si>
  <si>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</si>
  <si>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</si>
  <si>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</si>
  <si>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</si>
  <si>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</si>
  <si>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</si>
  <si>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</si>
  <si>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</si>
  <si>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</si>
  <si>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</si>
  <si>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</si>
  <si>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</si>
  <si>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</si>
  <si>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</si>
  <si>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</si>
  <si>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</si>
  <si>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</si>
  <si>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</si>
  <si>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</si>
  <si>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</si>
  <si>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</si>
  <si>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JESAIAS</t>
  </si>
  <si>
    <t>MERCADO E AÇOUGUE J.G</t>
  </si>
  <si>
    <t>NOBREZAS DA TERRA</t>
  </si>
  <si>
    <t>Bacon</t>
  </si>
  <si>
    <t>Paio</t>
  </si>
  <si>
    <t>Lingüiça de porco defumada</t>
  </si>
  <si>
    <t>0</t>
  </si>
  <si>
    <t>Bem</t>
  </si>
  <si>
    <t>Leite UHT Integral</t>
  </si>
  <si>
    <t>Canela em pau embalagem 20g</t>
  </si>
  <si>
    <t>Canela em pó embalagem 50g</t>
  </si>
  <si>
    <t>Cravo da índia embalagem 40g</t>
  </si>
  <si>
    <t xml:space="preserve">Esponja dupla face (verde amarela) multiuso </t>
  </si>
  <si>
    <t>087</t>
  </si>
  <si>
    <t>084</t>
  </si>
  <si>
    <t>085</t>
  </si>
  <si>
    <t>086</t>
  </si>
  <si>
    <t>088</t>
  </si>
  <si>
    <t>Toucinho de porco</t>
  </si>
  <si>
    <t>Farinha de QUIBE – Acondicionado em pacote de 1 kg</t>
  </si>
  <si>
    <t>EXTRATO de tomate (340g) acondicionada em sachê</t>
  </si>
  <si>
    <t>BACON</t>
  </si>
  <si>
    <t>CANJIQUINHA</t>
  </si>
  <si>
    <t>CANJICA BRANCA</t>
  </si>
  <si>
    <t>AMENDOIN TORRADO</t>
  </si>
  <si>
    <t>CÔCO RALADO</t>
  </si>
  <si>
    <t>Prato descartável branco redondo para refeição 21 cm  -  embal com 10 unid</t>
  </si>
  <si>
    <t>Prato descartável branco redondo para refeição 15 cm  -  embal com 10 unid</t>
  </si>
  <si>
    <t>Garfo plástico para sobremesa, cor branca  – embalagem com 50 unid</t>
  </si>
  <si>
    <t>Garfo plástico para refeição, cor branca  – embalagem com 50 unid</t>
  </si>
  <si>
    <t>Balde capacidade mínima 10L</t>
  </si>
  <si>
    <t>Cesto de lixo de plástico telado capacidade 10 L</t>
  </si>
  <si>
    <t>faca descartável, plástico, incolor para refeição/sobremesa</t>
  </si>
  <si>
    <t>pano de chão</t>
  </si>
  <si>
    <t>Copo descartável branco capacidade 250 ml – embal com 100 unid</t>
  </si>
  <si>
    <t>rodo de madeira, 40 cm.</t>
  </si>
  <si>
    <t>MÉDIA</t>
  </si>
  <si>
    <t>APÊNDICE AO TERMO DE REFERÊNCIA</t>
  </si>
  <si>
    <t>FUNDO MUNICIPAL DE ASSISTÊNCIA SOCIAL</t>
  </si>
  <si>
    <t>Município de Santo Antônio de Pádua</t>
  </si>
  <si>
    <t>Total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</si>
</sst>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7"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2"/>
      <name val="Arial Black"/>
      <family val="2"/>
    </font>
    <font>
      <sz val="12"/>
      <name val="Arial Black"/>
      <family val="2"/>
    </font>
    <font>
      <sz val="12"/>
      <color theme="1"/>
      <name val="Arial Black"/>
      <family val="2"/>
    </font>
    <font>
      <b/>
      <sz val="12"/>
      <color rgb="FFFF0000"/>
      <name val="Arial Black"/>
      <family val="2"/>
    </font>
    <font>
      <b/>
      <sz val="12"/>
      <color theme="1"/>
      <name val="Arial Black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83">
    <xf numFmtId="0" fontId="0" fillId="0" borderId="0" xfId="0"/>
    <xf numFmtId="0" fontId="0" fillId="0" borderId="0" xfId="0" applyAlignment="1">
      <alignment wrapText="1"/>
    </xf>
    <xf numFmtId="0" fontId="0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vertical="center" wrapText="1"/>
    </xf>
    <xf numFmtId="2" fontId="4" fillId="3" borderId="1" xfId="0" applyNumberFormat="1" applyFont="1" applyFill="1" applyBorder="1" applyAlignment="1">
      <alignment vertical="center" wrapText="1"/>
    </xf>
    <xf numFmtId="2" fontId="4" fillId="4" borderId="1" xfId="0" applyNumberFormat="1" applyFont="1" applyFill="1" applyBorder="1" applyAlignment="1">
      <alignment vertical="center" wrapText="1"/>
    </xf>
    <xf numFmtId="2" fontId="4" fillId="5" borderId="1" xfId="0" applyNumberFormat="1" applyFont="1" applyFill="1" applyBorder="1" applyAlignment="1">
      <alignment vertical="center" wrapText="1"/>
    </xf>
    <xf numFmtId="0" fontId="6" fillId="7" borderId="1" xfId="0" applyFont="1" applyFill="1" applyBorder="1" applyAlignment="1">
      <alignment wrapText="1"/>
    </xf>
    <xf numFmtId="49" fontId="5" fillId="0" borderId="1" xfId="0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vertical="center" wrapText="1"/>
    </xf>
    <xf numFmtId="0" fontId="10" fillId="0" borderId="5" xfId="1" applyFont="1" applyBorder="1" applyAlignment="1">
      <alignment vertical="center" wrapText="1"/>
    </xf>
    <xf numFmtId="0" fontId="10" fillId="8" borderId="5" xfId="1" applyFont="1" applyFill="1" applyBorder="1" applyAlignment="1">
      <alignment vertical="center" wrapText="1"/>
    </xf>
    <xf numFmtId="3" fontId="10" fillId="6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0" fillId="2" borderId="4" xfId="1" applyFont="1" applyFill="1" applyBorder="1" applyAlignment="1">
      <alignment vertical="center"/>
    </xf>
    <xf numFmtId="0" fontId="10" fillId="2" borderId="7" xfId="1" applyFont="1" applyFill="1" applyBorder="1" applyAlignment="1">
      <alignment vertical="center"/>
    </xf>
    <xf numFmtId="0" fontId="11" fillId="9" borderId="2" xfId="0" applyNumberFormat="1" applyFont="1" applyFill="1" applyBorder="1" applyAlignment="1">
      <alignment horizontal="center" vertical="center" wrapText="1"/>
    </xf>
    <xf numFmtId="0" fontId="11" fillId="9" borderId="1" xfId="0" applyNumberFormat="1" applyFont="1" applyFill="1" applyBorder="1" applyAlignment="1">
      <alignment horizontal="center" vertical="center" wrapText="1"/>
    </xf>
    <xf numFmtId="0" fontId="11" fillId="9" borderId="1" xfId="0" applyNumberFormat="1" applyFont="1" applyFill="1" applyBorder="1" applyAlignment="1">
      <alignment horizontal="center" wrapText="1" shrinkToFit="1"/>
    </xf>
    <xf numFmtId="0" fontId="11" fillId="9" borderId="1" xfId="0" applyNumberFormat="1" applyFont="1" applyFill="1" applyBorder="1" applyAlignment="1">
      <alignment horizontal="center" wrapText="1"/>
    </xf>
    <xf numFmtId="4" fontId="10" fillId="3" borderId="2" xfId="0" applyNumberFormat="1" applyFont="1" applyFill="1" applyBorder="1" applyAlignment="1">
      <alignment vertical="center" wrapText="1"/>
    </xf>
    <xf numFmtId="4" fontId="10" fillId="4" borderId="1" xfId="0" applyNumberFormat="1" applyFont="1" applyFill="1" applyBorder="1" applyAlignment="1">
      <alignment vertical="center" wrapText="1"/>
    </xf>
    <xf numFmtId="4" fontId="10" fillId="5" borderId="1" xfId="0" applyNumberFormat="1" applyFont="1" applyFill="1" applyBorder="1" applyAlignment="1">
      <alignment vertical="center" wrapText="1"/>
    </xf>
    <xf numFmtId="4" fontId="11" fillId="7" borderId="1" xfId="0" applyNumberFormat="1" applyFont="1" applyFill="1" applyBorder="1" applyAlignment="1">
      <alignment wrapText="1"/>
    </xf>
    <xf numFmtId="4" fontId="10" fillId="3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3" fillId="0" borderId="5" xfId="1" applyFont="1" applyBorder="1" applyAlignment="1">
      <alignment vertical="center" wrapText="1"/>
    </xf>
    <xf numFmtId="0" fontId="13" fillId="8" borderId="5" xfId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wrapText="1"/>
    </xf>
    <xf numFmtId="0" fontId="0" fillId="8" borderId="0" xfId="0" applyFill="1"/>
    <xf numFmtId="2" fontId="10" fillId="8" borderId="1" xfId="0" applyNumberFormat="1" applyFont="1" applyFill="1" applyBorder="1" applyAlignment="1">
      <alignment vertical="center" wrapText="1"/>
    </xf>
    <xf numFmtId="0" fontId="16" fillId="8" borderId="0" xfId="0" applyFont="1" applyFill="1"/>
    <xf numFmtId="164" fontId="15" fillId="8" borderId="1" xfId="0" applyNumberFormat="1" applyFont="1" applyFill="1" applyBorder="1" applyAlignment="1">
      <alignment horizontal="center"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0" fontId="1" fillId="8" borderId="1" xfId="1" applyFont="1" applyFill="1" applyBorder="1" applyAlignment="1">
      <alignment horizontal="center" vertical="center"/>
    </xf>
    <xf numFmtId="0" fontId="1" fillId="8" borderId="1" xfId="1" applyFont="1" applyFill="1" applyBorder="1" applyAlignment="1">
      <alignment horizontal="center" vertical="center" wrapText="1"/>
    </xf>
    <xf numFmtId="0" fontId="1" fillId="8" borderId="1" xfId="1" applyFont="1" applyFill="1" applyBorder="1" applyAlignment="1">
      <alignment horizontal="left" vertical="center" wrapText="1"/>
    </xf>
    <xf numFmtId="164" fontId="1" fillId="8" borderId="1" xfId="0" applyNumberFormat="1" applyFont="1" applyFill="1" applyBorder="1" applyAlignment="1">
      <alignment horizontal="center" vertical="center" wrapText="1"/>
    </xf>
    <xf numFmtId="3" fontId="1" fillId="8" borderId="1" xfId="0" applyNumberFormat="1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4" fontId="2" fillId="4" borderId="4" xfId="0" applyNumberFormat="1" applyFont="1" applyFill="1" applyBorder="1" applyAlignment="1">
      <alignment horizontal="center" vertical="center" wrapText="1"/>
    </xf>
    <xf numFmtId="4" fontId="2" fillId="4" borderId="5" xfId="0" applyNumberFormat="1" applyFont="1" applyFill="1" applyBorder="1" applyAlignment="1">
      <alignment horizontal="center" vertical="center" wrapText="1"/>
    </xf>
    <xf numFmtId="4" fontId="2" fillId="5" borderId="4" xfId="0" applyNumberFormat="1" applyFont="1" applyFill="1" applyBorder="1" applyAlignment="1">
      <alignment horizontal="center" vertical="center" wrapText="1"/>
    </xf>
    <xf numFmtId="4" fontId="2" fillId="5" borderId="5" xfId="0" applyNumberFormat="1" applyFont="1" applyFill="1" applyBorder="1" applyAlignment="1">
      <alignment horizontal="center" vertical="center" wrapText="1"/>
    </xf>
    <xf numFmtId="4" fontId="12" fillId="7" borderId="4" xfId="0" applyNumberFormat="1" applyFont="1" applyFill="1" applyBorder="1" applyAlignment="1">
      <alignment horizontal="center" wrapText="1"/>
    </xf>
    <xf numFmtId="4" fontId="12" fillId="7" borderId="5" xfId="0" applyNumberFormat="1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2" fontId="8" fillId="9" borderId="3" xfId="0" applyNumberFormat="1" applyFont="1" applyFill="1" applyBorder="1" applyAlignment="1">
      <alignment horizontal="center" vertical="center" wrapText="1"/>
    </xf>
    <xf numFmtId="2" fontId="7" fillId="9" borderId="2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8" fillId="9" borderId="2" xfId="0" applyNumberFormat="1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4" fillId="3" borderId="5" xfId="0" applyNumberFormat="1" applyFont="1" applyFill="1" applyBorder="1" applyAlignment="1">
      <alignment horizontal="center" vertical="center" wrapText="1"/>
    </xf>
    <xf numFmtId="2" fontId="4" fillId="4" borderId="4" xfId="0" applyNumberFormat="1" applyFont="1" applyFill="1" applyBorder="1" applyAlignment="1">
      <alignment horizontal="center" vertical="center" wrapText="1"/>
    </xf>
    <xf numFmtId="2" fontId="4" fillId="4" borderId="5" xfId="0" applyNumberFormat="1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wrapText="1"/>
    </xf>
    <xf numFmtId="164" fontId="11" fillId="8" borderId="4" xfId="0" applyNumberFormat="1" applyFont="1" applyFill="1" applyBorder="1" applyAlignment="1">
      <alignment horizontal="center"/>
    </xf>
    <xf numFmtId="164" fontId="11" fillId="8" borderId="5" xfId="0" applyNumberFormat="1" applyFont="1" applyFill="1" applyBorder="1" applyAlignment="1">
      <alignment horizontal="center"/>
    </xf>
    <xf numFmtId="0" fontId="10" fillId="8" borderId="7" xfId="0" applyFont="1" applyFill="1" applyBorder="1" applyAlignment="1">
      <alignment horizontal="center" wrapText="1"/>
    </xf>
    <xf numFmtId="0" fontId="10" fillId="8" borderId="11" xfId="0" applyFont="1" applyFill="1" applyBorder="1" applyAlignment="1">
      <alignment horizontal="center" wrapText="1"/>
    </xf>
    <xf numFmtId="0" fontId="10" fillId="8" borderId="12" xfId="0" applyFont="1" applyFill="1" applyBorder="1" applyAlignment="1">
      <alignment horizontal="center" wrapText="1"/>
    </xf>
    <xf numFmtId="0" fontId="11" fillId="8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 vertical="center" wrapText="1"/>
    </xf>
    <xf numFmtId="0" fontId="14" fillId="8" borderId="8" xfId="0" applyFont="1" applyFill="1" applyBorder="1" applyAlignment="1">
      <alignment horizontal="center" wrapText="1"/>
    </xf>
    <xf numFmtId="0" fontId="14" fillId="8" borderId="9" xfId="0" applyFont="1" applyFill="1" applyBorder="1" applyAlignment="1">
      <alignment horizontal="center" wrapText="1"/>
    </xf>
    <xf numFmtId="0" fontId="14" fillId="8" borderId="10" xfId="0" applyFont="1" applyFill="1" applyBorder="1" applyAlignment="1">
      <alignment horizontal="center" wrapText="1"/>
    </xf>
    <xf numFmtId="0" fontId="10" fillId="8" borderId="0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11">
    <dxf>
      <numFmt numFmtId="3" formatCode="#,##0"/>
      <fill>
        <patternFill>
          <bgColor rgb="FFC00000"/>
        </patternFill>
      </fill>
    </dxf>
    <dxf>
      <numFmt numFmtId="3" formatCode="#,##0"/>
      <fill>
        <patternFill>
          <bgColor rgb="FFC00000"/>
        </patternFill>
      </fill>
    </dxf>
    <dxf>
      <numFmt numFmtId="3" formatCode="#,##0"/>
      <fill>
        <patternFill>
          <bgColor rgb="FFC00000"/>
        </patternFill>
      </fill>
    </dxf>
    <dxf>
      <numFmt numFmtId="3" formatCode="#,##0"/>
      <fill>
        <patternFill>
          <bgColor rgb="FFC00000"/>
        </patternFill>
      </fill>
    </dxf>
    <dxf>
      <numFmt numFmtId="3" formatCode="#,##0"/>
      <fill>
        <patternFill>
          <bgColor rgb="FFC00000"/>
        </patternFill>
      </fill>
    </dxf>
    <dxf>
      <numFmt numFmtId="3" formatCode="#,##0"/>
      <fill>
        <patternFill>
          <bgColor rgb="FFC00000"/>
        </patternFill>
      </fill>
    </dxf>
    <dxf>
      <numFmt numFmtId="3" formatCode="#,##0"/>
      <fill>
        <patternFill>
          <bgColor rgb="FFC00000"/>
        </patternFill>
      </fill>
    </dxf>
    <dxf>
      <numFmt numFmtId="3" formatCode="#,##0"/>
      <fill>
        <patternFill>
          <bgColor rgb="FFC00000"/>
        </patternFill>
      </fill>
    </dxf>
    <dxf>
      <numFmt numFmtId="3" formatCode="#,##0"/>
      <fill>
        <patternFill>
          <bgColor rgb="FFC00000"/>
        </patternFill>
      </fill>
    </dxf>
    <dxf>
      <numFmt numFmtId="3" formatCode="#,##0"/>
      <fill>
        <patternFill>
          <bgColor rgb="FFC00000"/>
        </patternFill>
      </fill>
    </dxf>
    <dxf>
      <numFmt numFmtId="3" formatCode="#,##0"/>
      <fill>
        <patternFill>
          <bgColor rgb="FFC0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3"/>
  <sheetViews>
    <sheetView topLeftCell="A26" zoomScale="80" zoomScaleNormal="80" workbookViewId="0">
      <selection activeCell="F47" sqref="F47"/>
    </sheetView>
  </sheetViews>
  <sheetFormatPr defaultRowHeight="15"/>
  <cols>
    <col min="2" max="2" width="12.7109375" customWidth="1"/>
    <col min="3" max="3" width="13.28515625" customWidth="1"/>
    <col min="5" max="5" width="52.42578125" customWidth="1"/>
    <col min="6" max="6" width="18.28515625" customWidth="1"/>
    <col min="8" max="8" width="15" customWidth="1"/>
    <col min="10" max="10" width="14.140625" customWidth="1"/>
    <col min="12" max="12" width="14.28515625" customWidth="1"/>
    <col min="14" max="14" width="13.85546875" customWidth="1"/>
  </cols>
  <sheetData>
    <row r="1" spans="1:14">
      <c r="A1" s="1"/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1"/>
      <c r="N2" s="1"/>
    </row>
    <row r="3" spans="1:14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1"/>
      <c r="N3" s="1"/>
    </row>
    <row r="4" spans="1:14">
      <c r="A4" s="54" t="s">
        <v>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1"/>
      <c r="N4" s="1"/>
    </row>
    <row r="5" spans="1:14">
      <c r="A5" s="54" t="s">
        <v>125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1"/>
      <c r="N5" s="1"/>
    </row>
    <row r="6" spans="1:14" ht="18.75">
      <c r="A6" s="3"/>
      <c r="B6" s="3"/>
      <c r="C6" s="3"/>
      <c r="D6" s="3"/>
      <c r="E6" s="3"/>
      <c r="F6" s="3"/>
      <c r="G6" s="3"/>
      <c r="H6" s="3"/>
      <c r="I6" s="4"/>
      <c r="J6" s="4"/>
      <c r="K6" s="4"/>
      <c r="L6" s="4"/>
      <c r="M6" s="1"/>
      <c r="N6" s="1"/>
    </row>
    <row r="7" spans="1:14" ht="19.5">
      <c r="A7" s="56" t="s">
        <v>3</v>
      </c>
      <c r="B7" s="56" t="s">
        <v>4</v>
      </c>
      <c r="C7" s="57" t="s">
        <v>5</v>
      </c>
      <c r="D7" s="56" t="s">
        <v>6</v>
      </c>
      <c r="E7" s="56" t="s">
        <v>7</v>
      </c>
      <c r="F7" s="59" t="s">
        <v>8</v>
      </c>
      <c r="G7" s="61" t="s">
        <v>9</v>
      </c>
      <c r="H7" s="61"/>
      <c r="I7" s="62" t="s">
        <v>192</v>
      </c>
      <c r="J7" s="62"/>
      <c r="K7" s="63" t="s">
        <v>10</v>
      </c>
      <c r="L7" s="63"/>
      <c r="M7" s="53" t="s">
        <v>11</v>
      </c>
      <c r="N7" s="53"/>
    </row>
    <row r="8" spans="1:14" ht="19.5">
      <c r="A8" s="56"/>
      <c r="B8" s="56"/>
      <c r="C8" s="58"/>
      <c r="D8" s="56"/>
      <c r="E8" s="56"/>
      <c r="F8" s="60"/>
      <c r="G8" s="5" t="s">
        <v>12</v>
      </c>
      <c r="H8" s="5" t="s">
        <v>13</v>
      </c>
      <c r="I8" s="6" t="s">
        <v>12</v>
      </c>
      <c r="J8" s="6" t="s">
        <v>13</v>
      </c>
      <c r="K8" s="7" t="s">
        <v>12</v>
      </c>
      <c r="L8" s="7" t="s">
        <v>13</v>
      </c>
      <c r="M8" s="8" t="s">
        <v>12</v>
      </c>
      <c r="N8" s="8" t="s">
        <v>13</v>
      </c>
    </row>
    <row r="9" spans="1:14" ht="19.5">
      <c r="A9" s="9" t="s">
        <v>14</v>
      </c>
      <c r="B9" s="15">
        <v>4000</v>
      </c>
      <c r="C9" s="13">
        <f>B9-F9</f>
        <v>3775</v>
      </c>
      <c r="D9" s="10" t="s">
        <v>15</v>
      </c>
      <c r="E9" s="11" t="s">
        <v>33</v>
      </c>
      <c r="F9" s="17">
        <f>120+105</f>
        <v>225</v>
      </c>
      <c r="G9" s="21"/>
      <c r="H9" s="21"/>
      <c r="I9" s="22">
        <v>1.94</v>
      </c>
      <c r="J9" s="22">
        <f>F9*I9</f>
        <v>436.5</v>
      </c>
      <c r="K9" s="23"/>
      <c r="L9" s="23"/>
      <c r="M9" s="24"/>
      <c r="N9" s="24"/>
    </row>
    <row r="10" spans="1:14" ht="31.5">
      <c r="A10" s="9" t="s">
        <v>16</v>
      </c>
      <c r="B10" s="15">
        <v>800</v>
      </c>
      <c r="C10" s="13">
        <f t="shared" ref="C10:C73" si="0">B10-F10</f>
        <v>736</v>
      </c>
      <c r="D10" s="10" t="s">
        <v>15</v>
      </c>
      <c r="E10" s="11" t="s">
        <v>34</v>
      </c>
      <c r="F10" s="18">
        <f>10+27+27</f>
        <v>64</v>
      </c>
      <c r="G10" s="25">
        <v>3.71</v>
      </c>
      <c r="H10" s="21">
        <f t="shared" ref="H10:H46" si="1">F10*G10</f>
        <v>237.44</v>
      </c>
      <c r="I10" s="22"/>
      <c r="J10" s="22"/>
      <c r="K10" s="23"/>
      <c r="L10" s="23"/>
      <c r="M10" s="24"/>
      <c r="N10" s="24"/>
    </row>
    <row r="11" spans="1:14" ht="31.5">
      <c r="A11" s="9" t="s">
        <v>17</v>
      </c>
      <c r="B11" s="15">
        <v>800</v>
      </c>
      <c r="C11" s="13">
        <f t="shared" si="0"/>
        <v>736</v>
      </c>
      <c r="D11" s="10" t="s">
        <v>35</v>
      </c>
      <c r="E11" s="11" t="s">
        <v>36</v>
      </c>
      <c r="F11" s="18">
        <f>40+12+12</f>
        <v>64</v>
      </c>
      <c r="G11" s="25"/>
      <c r="H11" s="21"/>
      <c r="I11" s="22"/>
      <c r="J11" s="22"/>
      <c r="K11" s="23">
        <v>2.04</v>
      </c>
      <c r="L11" s="23">
        <f t="shared" ref="L11:L72" si="2">F11*K11</f>
        <v>130.56</v>
      </c>
      <c r="M11" s="24"/>
      <c r="N11" s="24"/>
    </row>
    <row r="12" spans="1:14" ht="19.5">
      <c r="A12" s="9" t="s">
        <v>18</v>
      </c>
      <c r="B12" s="15">
        <v>60</v>
      </c>
      <c r="C12" s="13">
        <f t="shared" si="0"/>
        <v>55</v>
      </c>
      <c r="D12" s="10" t="s">
        <v>15</v>
      </c>
      <c r="E12" s="11" t="s">
        <v>37</v>
      </c>
      <c r="F12" s="18">
        <f>2+1+2</f>
        <v>5</v>
      </c>
      <c r="G12" s="25"/>
      <c r="H12" s="21"/>
      <c r="I12" s="22"/>
      <c r="J12" s="22"/>
      <c r="K12" s="23">
        <v>1.58</v>
      </c>
      <c r="L12" s="23">
        <f t="shared" si="2"/>
        <v>7.9</v>
      </c>
      <c r="M12" s="24"/>
      <c r="N12" s="24"/>
    </row>
    <row r="13" spans="1:14" ht="19.5">
      <c r="A13" s="9" t="s">
        <v>19</v>
      </c>
      <c r="B13" s="15">
        <v>1200</v>
      </c>
      <c r="C13" s="13">
        <f t="shared" si="0"/>
        <v>1100</v>
      </c>
      <c r="D13" s="10" t="s">
        <v>15</v>
      </c>
      <c r="E13" s="11" t="s">
        <v>38</v>
      </c>
      <c r="F13" s="18">
        <f>24+38+38</f>
        <v>100</v>
      </c>
      <c r="G13" s="25"/>
      <c r="H13" s="21"/>
      <c r="I13" s="22"/>
      <c r="J13" s="22"/>
      <c r="K13" s="23"/>
      <c r="L13" s="23"/>
      <c r="M13" s="24">
        <v>2.27</v>
      </c>
      <c r="N13" s="24">
        <f t="shared" ref="N13:N73" si="3">F13*M13</f>
        <v>227</v>
      </c>
    </row>
    <row r="14" spans="1:14" ht="31.5">
      <c r="A14" s="9" t="s">
        <v>20</v>
      </c>
      <c r="B14" s="15">
        <v>150</v>
      </c>
      <c r="C14" s="13">
        <f t="shared" si="0"/>
        <v>138</v>
      </c>
      <c r="D14" s="10" t="s">
        <v>39</v>
      </c>
      <c r="E14" s="11" t="s">
        <v>40</v>
      </c>
      <c r="F14" s="19">
        <f>4+4+4</f>
        <v>12</v>
      </c>
      <c r="G14" s="25">
        <v>2.46</v>
      </c>
      <c r="H14" s="21">
        <f t="shared" si="1"/>
        <v>29.52</v>
      </c>
      <c r="I14" s="22"/>
      <c r="J14" s="22"/>
      <c r="K14" s="23"/>
      <c r="L14" s="23"/>
      <c r="M14" s="24"/>
      <c r="N14" s="24"/>
    </row>
    <row r="15" spans="1:14" ht="19.5">
      <c r="A15" s="9" t="s">
        <v>21</v>
      </c>
      <c r="B15" s="15">
        <v>150</v>
      </c>
      <c r="C15" s="13">
        <f t="shared" si="0"/>
        <v>137</v>
      </c>
      <c r="D15" s="10" t="s">
        <v>39</v>
      </c>
      <c r="E15" s="11" t="s">
        <v>41</v>
      </c>
      <c r="F15" s="18">
        <f>1+6+6</f>
        <v>13</v>
      </c>
      <c r="G15" s="25"/>
      <c r="H15" s="21"/>
      <c r="I15" s="22"/>
      <c r="J15" s="22"/>
      <c r="K15" s="23">
        <v>2.39</v>
      </c>
      <c r="L15" s="23">
        <f t="shared" si="2"/>
        <v>31.07</v>
      </c>
      <c r="M15" s="24"/>
      <c r="N15" s="24"/>
    </row>
    <row r="16" spans="1:14" ht="19.5">
      <c r="A16" s="9" t="s">
        <v>22</v>
      </c>
      <c r="B16" s="15">
        <v>1200</v>
      </c>
      <c r="C16" s="13">
        <f t="shared" si="0"/>
        <v>1100</v>
      </c>
      <c r="D16" s="10" t="s">
        <v>35</v>
      </c>
      <c r="E16" s="11" t="s">
        <v>42</v>
      </c>
      <c r="F16" s="18">
        <f>20+40+40</f>
        <v>100</v>
      </c>
      <c r="G16" s="25">
        <v>3.12</v>
      </c>
      <c r="H16" s="21">
        <f t="shared" si="1"/>
        <v>312</v>
      </c>
      <c r="I16" s="22"/>
      <c r="J16" s="22"/>
      <c r="K16" s="23"/>
      <c r="L16" s="23"/>
      <c r="M16" s="24"/>
      <c r="N16" s="24"/>
    </row>
    <row r="17" spans="1:14" ht="19.5">
      <c r="A17" s="9" t="s">
        <v>23</v>
      </c>
      <c r="B17" s="15">
        <v>1200</v>
      </c>
      <c r="C17" s="13">
        <f t="shared" si="0"/>
        <v>1100</v>
      </c>
      <c r="D17" s="10" t="s">
        <v>35</v>
      </c>
      <c r="E17" s="11" t="s">
        <v>43</v>
      </c>
      <c r="F17" s="18">
        <f>20+40+40</f>
        <v>100</v>
      </c>
      <c r="G17" s="25">
        <v>3.07</v>
      </c>
      <c r="H17" s="21">
        <f t="shared" si="1"/>
        <v>307</v>
      </c>
      <c r="I17" s="22"/>
      <c r="J17" s="22"/>
      <c r="K17" s="23"/>
      <c r="L17" s="23"/>
      <c r="M17" s="24"/>
      <c r="N17" s="24"/>
    </row>
    <row r="18" spans="1:14" ht="19.5">
      <c r="A18" s="9" t="s">
        <v>24</v>
      </c>
      <c r="B18" s="15">
        <v>400</v>
      </c>
      <c r="C18" s="13">
        <f t="shared" si="0"/>
        <v>366</v>
      </c>
      <c r="D18" s="10" t="s">
        <v>44</v>
      </c>
      <c r="E18" s="11" t="s">
        <v>45</v>
      </c>
      <c r="F18" s="18">
        <f>10+12+12</f>
        <v>34</v>
      </c>
      <c r="G18" s="25"/>
      <c r="H18" s="21"/>
      <c r="I18" s="22"/>
      <c r="J18" s="22"/>
      <c r="K18" s="23"/>
      <c r="L18" s="23"/>
      <c r="M18" s="24">
        <v>3.38</v>
      </c>
      <c r="N18" s="24">
        <f t="shared" si="3"/>
        <v>114.92</v>
      </c>
    </row>
    <row r="19" spans="1:14" ht="19.5">
      <c r="A19" s="9" t="s">
        <v>25</v>
      </c>
      <c r="B19" s="15">
        <v>220</v>
      </c>
      <c r="C19" s="13">
        <f t="shared" si="0"/>
        <v>202</v>
      </c>
      <c r="D19" s="10" t="s">
        <v>46</v>
      </c>
      <c r="E19" s="11" t="s">
        <v>47</v>
      </c>
      <c r="F19" s="18">
        <f>2+8+8</f>
        <v>18</v>
      </c>
      <c r="G19" s="25"/>
      <c r="H19" s="21"/>
      <c r="I19" s="22"/>
      <c r="J19" s="22"/>
      <c r="K19" s="23">
        <v>4.03</v>
      </c>
      <c r="L19" s="23">
        <f t="shared" si="2"/>
        <v>72.540000000000006</v>
      </c>
      <c r="M19" s="24"/>
      <c r="N19" s="24"/>
    </row>
    <row r="20" spans="1:14" ht="19.5">
      <c r="A20" s="9" t="s">
        <v>26</v>
      </c>
      <c r="B20" s="15">
        <v>450</v>
      </c>
      <c r="C20" s="13">
        <f t="shared" si="0"/>
        <v>417</v>
      </c>
      <c r="D20" s="10" t="s">
        <v>39</v>
      </c>
      <c r="E20" s="11" t="s">
        <v>48</v>
      </c>
      <c r="F20" s="18">
        <f>30+3</f>
        <v>33</v>
      </c>
      <c r="G20" s="25"/>
      <c r="H20" s="21"/>
      <c r="I20" s="22">
        <v>12.22</v>
      </c>
      <c r="J20" s="22">
        <f t="shared" ref="J20:J58" si="4">F20*I20</f>
        <v>403.26000000000005</v>
      </c>
      <c r="K20" s="23"/>
      <c r="L20" s="23"/>
      <c r="M20" s="24"/>
      <c r="N20" s="24"/>
    </row>
    <row r="21" spans="1:14" ht="19.5">
      <c r="A21" s="9" t="s">
        <v>28</v>
      </c>
      <c r="B21" s="15">
        <v>300</v>
      </c>
      <c r="C21" s="13">
        <f t="shared" si="0"/>
        <v>275</v>
      </c>
      <c r="D21" s="10" t="s">
        <v>35</v>
      </c>
      <c r="E21" s="11" t="s">
        <v>27</v>
      </c>
      <c r="F21" s="20">
        <f>12+6+7</f>
        <v>25</v>
      </c>
      <c r="G21" s="25"/>
      <c r="H21" s="21"/>
      <c r="I21" s="22"/>
      <c r="J21" s="22"/>
      <c r="K21" s="23">
        <v>3.05</v>
      </c>
      <c r="L21" s="23">
        <f t="shared" si="2"/>
        <v>76.25</v>
      </c>
      <c r="M21" s="24"/>
      <c r="N21" s="24"/>
    </row>
    <row r="22" spans="1:14" ht="19.5">
      <c r="A22" s="9" t="s">
        <v>29</v>
      </c>
      <c r="B22" s="15">
        <v>400</v>
      </c>
      <c r="C22" s="13">
        <f t="shared" si="0"/>
        <v>368</v>
      </c>
      <c r="D22" s="10" t="s">
        <v>35</v>
      </c>
      <c r="E22" s="11" t="s">
        <v>49</v>
      </c>
      <c r="F22" s="20">
        <f>8+12+12</f>
        <v>32</v>
      </c>
      <c r="G22" s="25">
        <v>1.64</v>
      </c>
      <c r="H22" s="21">
        <f t="shared" si="1"/>
        <v>52.48</v>
      </c>
      <c r="I22" s="22"/>
      <c r="J22" s="22"/>
      <c r="K22" s="23"/>
      <c r="L22" s="23"/>
      <c r="M22" s="24"/>
      <c r="N22" s="24"/>
    </row>
    <row r="23" spans="1:14" ht="19.5">
      <c r="A23" s="9" t="s">
        <v>30</v>
      </c>
      <c r="B23" s="15">
        <v>200</v>
      </c>
      <c r="C23" s="13">
        <f t="shared" si="0"/>
        <v>184</v>
      </c>
      <c r="D23" s="10" t="s">
        <v>39</v>
      </c>
      <c r="E23" s="11" t="s">
        <v>50</v>
      </c>
      <c r="F23" s="20">
        <f>4+6+6</f>
        <v>16</v>
      </c>
      <c r="G23" s="25"/>
      <c r="H23" s="21"/>
      <c r="I23" s="22"/>
      <c r="J23" s="22"/>
      <c r="K23" s="23">
        <v>1.51</v>
      </c>
      <c r="L23" s="23">
        <f t="shared" si="2"/>
        <v>24.16</v>
      </c>
      <c r="M23" s="24"/>
      <c r="N23" s="24"/>
    </row>
    <row r="24" spans="1:14" ht="19.5">
      <c r="A24" s="9" t="s">
        <v>31</v>
      </c>
      <c r="B24" s="15">
        <v>800</v>
      </c>
      <c r="C24" s="13">
        <f t="shared" si="0"/>
        <v>735</v>
      </c>
      <c r="D24" s="10" t="s">
        <v>44</v>
      </c>
      <c r="E24" s="11" t="s">
        <v>51</v>
      </c>
      <c r="F24" s="19">
        <f>16+24+25</f>
        <v>65</v>
      </c>
      <c r="G24" s="25">
        <v>3.68</v>
      </c>
      <c r="H24" s="21">
        <f t="shared" si="1"/>
        <v>239.20000000000002</v>
      </c>
      <c r="I24" s="22"/>
      <c r="J24" s="22"/>
      <c r="K24" s="23"/>
      <c r="L24" s="23"/>
      <c r="M24" s="24"/>
      <c r="N24" s="24"/>
    </row>
    <row r="25" spans="1:14" ht="19.5">
      <c r="A25" s="9" t="s">
        <v>32</v>
      </c>
      <c r="B25" s="15">
        <v>800</v>
      </c>
      <c r="C25" s="13">
        <f t="shared" si="0"/>
        <v>735</v>
      </c>
      <c r="D25" s="10" t="s">
        <v>44</v>
      </c>
      <c r="E25" s="11" t="s">
        <v>52</v>
      </c>
      <c r="F25" s="18">
        <f>16+24+25</f>
        <v>65</v>
      </c>
      <c r="G25" s="25"/>
      <c r="H25" s="21"/>
      <c r="I25" s="22"/>
      <c r="J25" s="22"/>
      <c r="K25" s="23"/>
      <c r="L25" s="23"/>
      <c r="M25" s="24">
        <v>4.75</v>
      </c>
      <c r="N25" s="24">
        <f t="shared" si="3"/>
        <v>308.75</v>
      </c>
    </row>
    <row r="26" spans="1:14" ht="19.5">
      <c r="A26" s="9" t="s">
        <v>126</v>
      </c>
      <c r="B26" s="15">
        <v>800</v>
      </c>
      <c r="C26" s="13">
        <f t="shared" si="0"/>
        <v>735</v>
      </c>
      <c r="D26" s="10" t="s">
        <v>44</v>
      </c>
      <c r="E26" s="11" t="s">
        <v>53</v>
      </c>
      <c r="F26" s="17">
        <f>16+24+25</f>
        <v>65</v>
      </c>
      <c r="G26" s="21">
        <v>5.88</v>
      </c>
      <c r="H26" s="21">
        <f t="shared" si="1"/>
        <v>382.2</v>
      </c>
      <c r="I26" s="22"/>
      <c r="J26" s="22"/>
      <c r="K26" s="23"/>
      <c r="L26" s="23"/>
      <c r="M26" s="24"/>
      <c r="N26" s="24"/>
    </row>
    <row r="27" spans="1:14" ht="19.5">
      <c r="A27" s="9" t="s">
        <v>127</v>
      </c>
      <c r="B27" s="15">
        <v>400</v>
      </c>
      <c r="C27" s="13">
        <f t="shared" si="0"/>
        <v>368</v>
      </c>
      <c r="D27" s="10" t="s">
        <v>54</v>
      </c>
      <c r="E27" s="11" t="s">
        <v>55</v>
      </c>
      <c r="F27" s="18">
        <f>32</f>
        <v>32</v>
      </c>
      <c r="G27" s="25">
        <v>5.45</v>
      </c>
      <c r="H27" s="21">
        <f t="shared" si="1"/>
        <v>174.4</v>
      </c>
      <c r="I27" s="22"/>
      <c r="J27" s="22"/>
      <c r="K27" s="23"/>
      <c r="L27" s="23"/>
      <c r="M27" s="24"/>
      <c r="N27" s="24"/>
    </row>
    <row r="28" spans="1:14" ht="19.5">
      <c r="A28" s="9" t="s">
        <v>128</v>
      </c>
      <c r="B28" s="15">
        <v>500</v>
      </c>
      <c r="C28" s="13">
        <f t="shared" si="0"/>
        <v>463</v>
      </c>
      <c r="D28" s="10" t="s">
        <v>39</v>
      </c>
      <c r="E28" s="11" t="s">
        <v>56</v>
      </c>
      <c r="F28" s="18">
        <f>35+2</f>
        <v>37</v>
      </c>
      <c r="G28" s="25"/>
      <c r="H28" s="21"/>
      <c r="I28" s="22">
        <v>17.57</v>
      </c>
      <c r="J28" s="22">
        <f t="shared" si="4"/>
        <v>650.09</v>
      </c>
      <c r="K28" s="23"/>
      <c r="L28" s="23"/>
      <c r="M28" s="24"/>
      <c r="N28" s="24"/>
    </row>
    <row r="29" spans="1:14" ht="19.5">
      <c r="A29" s="9" t="s">
        <v>129</v>
      </c>
      <c r="B29" s="15">
        <v>500</v>
      </c>
      <c r="C29" s="13">
        <f t="shared" si="0"/>
        <v>460</v>
      </c>
      <c r="D29" s="10" t="s">
        <v>39</v>
      </c>
      <c r="E29" s="11" t="s">
        <v>57</v>
      </c>
      <c r="F29" s="18">
        <f>35+2+3</f>
        <v>40</v>
      </c>
      <c r="G29" s="25">
        <v>11.49</v>
      </c>
      <c r="H29" s="21">
        <f t="shared" si="1"/>
        <v>459.6</v>
      </c>
      <c r="I29" s="22"/>
      <c r="J29" s="22"/>
      <c r="K29" s="23"/>
      <c r="L29" s="23"/>
      <c r="M29" s="24"/>
      <c r="N29" s="24"/>
    </row>
    <row r="30" spans="1:14" ht="19.5">
      <c r="A30" s="9" t="s">
        <v>130</v>
      </c>
      <c r="B30" s="15">
        <v>500</v>
      </c>
      <c r="C30" s="13">
        <f t="shared" si="0"/>
        <v>460</v>
      </c>
      <c r="D30" s="10" t="s">
        <v>39</v>
      </c>
      <c r="E30" s="11" t="s">
        <v>58</v>
      </c>
      <c r="F30" s="18">
        <f>20+10+10</f>
        <v>40</v>
      </c>
      <c r="G30" s="25"/>
      <c r="H30" s="21"/>
      <c r="I30" s="22"/>
      <c r="J30" s="22"/>
      <c r="K30" s="23">
        <v>13.58</v>
      </c>
      <c r="L30" s="23">
        <f t="shared" si="2"/>
        <v>543.20000000000005</v>
      </c>
      <c r="M30" s="24"/>
      <c r="N30" s="24"/>
    </row>
    <row r="31" spans="1:14" ht="19.5">
      <c r="A31" s="9" t="s">
        <v>131</v>
      </c>
      <c r="B31" s="15">
        <v>500</v>
      </c>
      <c r="C31" s="13">
        <f t="shared" si="0"/>
        <v>463</v>
      </c>
      <c r="D31" s="10" t="s">
        <v>39</v>
      </c>
      <c r="E31" s="11" t="s">
        <v>59</v>
      </c>
      <c r="F31" s="19">
        <f>35+2</f>
        <v>37</v>
      </c>
      <c r="G31" s="25"/>
      <c r="H31" s="21"/>
      <c r="I31" s="22">
        <v>16.89</v>
      </c>
      <c r="J31" s="22">
        <f t="shared" si="4"/>
        <v>624.93000000000006</v>
      </c>
      <c r="K31" s="23"/>
      <c r="L31" s="23"/>
      <c r="M31" s="24"/>
      <c r="N31" s="24"/>
    </row>
    <row r="32" spans="1:14" ht="19.5">
      <c r="A32" s="9" t="s">
        <v>132</v>
      </c>
      <c r="B32" s="15">
        <v>500</v>
      </c>
      <c r="C32" s="13">
        <f t="shared" si="0"/>
        <v>460</v>
      </c>
      <c r="D32" s="10" t="s">
        <v>39</v>
      </c>
      <c r="E32" s="11" t="s">
        <v>60</v>
      </c>
      <c r="F32" s="18">
        <f>35+2+3</f>
        <v>40</v>
      </c>
      <c r="G32" s="25">
        <v>9.1199999999999992</v>
      </c>
      <c r="H32" s="21">
        <f t="shared" si="1"/>
        <v>364.79999999999995</v>
      </c>
      <c r="I32" s="22"/>
      <c r="J32" s="22"/>
      <c r="K32" s="23"/>
      <c r="L32" s="23"/>
      <c r="M32" s="24"/>
      <c r="N32" s="24"/>
    </row>
    <row r="33" spans="1:14" ht="19.5">
      <c r="A33" s="9" t="s">
        <v>133</v>
      </c>
      <c r="B33" s="15">
        <v>400</v>
      </c>
      <c r="C33" s="13">
        <f t="shared" si="0"/>
        <v>368</v>
      </c>
      <c r="D33" s="10" t="s">
        <v>54</v>
      </c>
      <c r="E33" s="11" t="s">
        <v>61</v>
      </c>
      <c r="F33" s="18">
        <f>32</f>
        <v>32</v>
      </c>
      <c r="G33" s="25"/>
      <c r="H33" s="21"/>
      <c r="I33" s="22"/>
      <c r="J33" s="22"/>
      <c r="K33" s="23">
        <v>13.25</v>
      </c>
      <c r="L33" s="23">
        <f t="shared" si="2"/>
        <v>424</v>
      </c>
      <c r="M33" s="24"/>
      <c r="N33" s="24"/>
    </row>
    <row r="34" spans="1:14" ht="19.5">
      <c r="A34" s="9" t="s">
        <v>134</v>
      </c>
      <c r="B34" s="15">
        <v>250</v>
      </c>
      <c r="C34" s="13">
        <f t="shared" si="0"/>
        <v>227</v>
      </c>
      <c r="D34" s="10" t="s">
        <v>39</v>
      </c>
      <c r="E34" s="11" t="s">
        <v>62</v>
      </c>
      <c r="F34" s="18">
        <f>20+3</f>
        <v>23</v>
      </c>
      <c r="G34" s="25"/>
      <c r="H34" s="21"/>
      <c r="I34" s="22"/>
      <c r="J34" s="22"/>
      <c r="K34" s="23"/>
      <c r="L34" s="23"/>
      <c r="M34" s="24">
        <v>13.69</v>
      </c>
      <c r="N34" s="24">
        <f t="shared" si="3"/>
        <v>314.87</v>
      </c>
    </row>
    <row r="35" spans="1:14" ht="19.5">
      <c r="A35" s="9" t="s">
        <v>135</v>
      </c>
      <c r="B35" s="15">
        <v>150</v>
      </c>
      <c r="C35" s="13">
        <f t="shared" si="0"/>
        <v>142</v>
      </c>
      <c r="D35" s="10" t="s">
        <v>63</v>
      </c>
      <c r="E35" s="11" t="s">
        <v>64</v>
      </c>
      <c r="F35" s="18">
        <f>5+3</f>
        <v>8</v>
      </c>
      <c r="G35" s="25">
        <v>1.1399999999999999</v>
      </c>
      <c r="H35" s="21">
        <f t="shared" si="1"/>
        <v>9.1199999999999992</v>
      </c>
      <c r="I35" s="22"/>
      <c r="J35" s="22"/>
      <c r="K35" s="23"/>
      <c r="L35" s="23"/>
      <c r="M35" s="24"/>
      <c r="N35" s="24"/>
    </row>
    <row r="36" spans="1:14" ht="19.5">
      <c r="A36" s="9" t="s">
        <v>136</v>
      </c>
      <c r="B36" s="15">
        <v>100</v>
      </c>
      <c r="C36" s="13">
        <f t="shared" si="0"/>
        <v>100</v>
      </c>
      <c r="D36" s="10" t="s">
        <v>63</v>
      </c>
      <c r="E36" s="11" t="s">
        <v>65</v>
      </c>
      <c r="F36" s="18"/>
      <c r="G36" s="25">
        <v>4.9000000000000004</v>
      </c>
      <c r="H36" s="21">
        <f t="shared" si="1"/>
        <v>0</v>
      </c>
      <c r="I36" s="22"/>
      <c r="J36" s="22"/>
      <c r="K36" s="23"/>
      <c r="L36" s="23"/>
      <c r="M36" s="24"/>
      <c r="N36" s="24"/>
    </row>
    <row r="37" spans="1:14" ht="31.5">
      <c r="A37" s="9" t="s">
        <v>137</v>
      </c>
      <c r="B37" s="15">
        <v>200</v>
      </c>
      <c r="C37" s="13">
        <f t="shared" si="0"/>
        <v>184</v>
      </c>
      <c r="D37" s="10" t="s">
        <v>39</v>
      </c>
      <c r="E37" s="11" t="s">
        <v>66</v>
      </c>
      <c r="F37" s="18">
        <f>8+4+4</f>
        <v>16</v>
      </c>
      <c r="G37" s="25"/>
      <c r="H37" s="21"/>
      <c r="I37" s="22"/>
      <c r="J37" s="22"/>
      <c r="K37" s="23">
        <v>2.98</v>
      </c>
      <c r="L37" s="23">
        <f t="shared" si="2"/>
        <v>47.68</v>
      </c>
      <c r="M37" s="24"/>
      <c r="N37" s="24"/>
    </row>
    <row r="38" spans="1:14" ht="19.5">
      <c r="A38" s="9" t="s">
        <v>138</v>
      </c>
      <c r="B38" s="15">
        <v>200</v>
      </c>
      <c r="C38" s="13">
        <f t="shared" si="0"/>
        <v>184</v>
      </c>
      <c r="D38" s="10" t="s">
        <v>63</v>
      </c>
      <c r="E38" s="11" t="s">
        <v>67</v>
      </c>
      <c r="F38" s="20">
        <f>10+3+3</f>
        <v>16</v>
      </c>
      <c r="G38" s="25">
        <v>0.51</v>
      </c>
      <c r="H38" s="21">
        <f t="shared" si="1"/>
        <v>8.16</v>
      </c>
      <c r="I38" s="22"/>
      <c r="J38" s="22"/>
      <c r="K38" s="23"/>
      <c r="L38" s="23"/>
      <c r="M38" s="24"/>
      <c r="N38" s="24"/>
    </row>
    <row r="39" spans="1:14" ht="19.5">
      <c r="A39" s="9" t="s">
        <v>139</v>
      </c>
      <c r="B39" s="15">
        <v>100</v>
      </c>
      <c r="C39" s="13">
        <f t="shared" si="0"/>
        <v>92</v>
      </c>
      <c r="D39" s="10" t="s">
        <v>39</v>
      </c>
      <c r="E39" s="11" t="s">
        <v>68</v>
      </c>
      <c r="F39" s="20">
        <f>8</f>
        <v>8</v>
      </c>
      <c r="G39" s="25"/>
      <c r="H39" s="21"/>
      <c r="I39" s="22"/>
      <c r="J39" s="22"/>
      <c r="K39" s="23">
        <v>7.43</v>
      </c>
      <c r="L39" s="23">
        <f t="shared" si="2"/>
        <v>59.44</v>
      </c>
      <c r="M39" s="24"/>
      <c r="N39" s="24"/>
    </row>
    <row r="40" spans="1:14" ht="31.5">
      <c r="A40" s="9" t="s">
        <v>140</v>
      </c>
      <c r="B40" s="15">
        <v>300</v>
      </c>
      <c r="C40" s="13">
        <f t="shared" si="0"/>
        <v>276</v>
      </c>
      <c r="D40" s="10" t="s">
        <v>63</v>
      </c>
      <c r="E40" s="11" t="s">
        <v>69</v>
      </c>
      <c r="F40" s="20">
        <f>10+7+7</f>
        <v>24</v>
      </c>
      <c r="G40" s="25"/>
      <c r="H40" s="21"/>
      <c r="I40" s="22"/>
      <c r="J40" s="22"/>
      <c r="K40" s="23">
        <v>2.87</v>
      </c>
      <c r="L40" s="23">
        <f t="shared" si="2"/>
        <v>68.88</v>
      </c>
      <c r="M40" s="24"/>
      <c r="N40" s="24"/>
    </row>
    <row r="41" spans="1:14" ht="19.5">
      <c r="A41" s="9" t="s">
        <v>141</v>
      </c>
      <c r="B41" s="15">
        <v>30</v>
      </c>
      <c r="C41" s="13">
        <f t="shared" si="0"/>
        <v>28</v>
      </c>
      <c r="D41" s="10" t="s">
        <v>39</v>
      </c>
      <c r="E41" s="11" t="s">
        <v>70</v>
      </c>
      <c r="F41" s="19">
        <f>2</f>
        <v>2</v>
      </c>
      <c r="G41" s="25">
        <v>7.38</v>
      </c>
      <c r="H41" s="21">
        <f t="shared" si="1"/>
        <v>14.76</v>
      </c>
      <c r="I41" s="22"/>
      <c r="J41" s="22"/>
      <c r="K41" s="23"/>
      <c r="L41" s="23"/>
      <c r="M41" s="24"/>
      <c r="N41" s="24"/>
    </row>
    <row r="42" spans="1:14" ht="19.5">
      <c r="A42" s="9" t="s">
        <v>142</v>
      </c>
      <c r="B42" s="15">
        <v>100</v>
      </c>
      <c r="C42" s="13">
        <f t="shared" si="0"/>
        <v>92</v>
      </c>
      <c r="D42" s="10" t="s">
        <v>63</v>
      </c>
      <c r="E42" s="11" t="s">
        <v>71</v>
      </c>
      <c r="F42" s="18">
        <f>8</f>
        <v>8</v>
      </c>
      <c r="G42" s="25"/>
      <c r="H42" s="21"/>
      <c r="I42" s="22"/>
      <c r="J42" s="22"/>
      <c r="K42" s="23">
        <v>3.89</v>
      </c>
      <c r="L42" s="23">
        <f t="shared" si="2"/>
        <v>31.12</v>
      </c>
      <c r="M42" s="24"/>
      <c r="N42" s="24"/>
    </row>
    <row r="43" spans="1:14" ht="19.5">
      <c r="A43" s="9" t="s">
        <v>143</v>
      </c>
      <c r="B43" s="15">
        <v>20</v>
      </c>
      <c r="C43" s="13">
        <f t="shared" si="0"/>
        <v>19</v>
      </c>
      <c r="D43" s="10" t="s">
        <v>39</v>
      </c>
      <c r="E43" s="11" t="s">
        <v>72</v>
      </c>
      <c r="F43" s="17">
        <f>1</f>
        <v>1</v>
      </c>
      <c r="G43" s="21"/>
      <c r="H43" s="21"/>
      <c r="I43" s="22"/>
      <c r="J43" s="22"/>
      <c r="K43" s="23">
        <v>8.1300000000000008</v>
      </c>
      <c r="L43" s="23">
        <f t="shared" si="2"/>
        <v>8.1300000000000008</v>
      </c>
      <c r="M43" s="24"/>
      <c r="N43" s="24"/>
    </row>
    <row r="44" spans="1:14" ht="19.5">
      <c r="A44" s="9" t="s">
        <v>144</v>
      </c>
      <c r="B44" s="15">
        <v>400</v>
      </c>
      <c r="C44" s="13">
        <f t="shared" si="0"/>
        <v>368</v>
      </c>
      <c r="D44" s="10" t="s">
        <v>63</v>
      </c>
      <c r="E44" s="11" t="s">
        <v>73</v>
      </c>
      <c r="F44" s="18">
        <f>12+10+10</f>
        <v>32</v>
      </c>
      <c r="G44" s="25">
        <v>1.58</v>
      </c>
      <c r="H44" s="21">
        <f t="shared" si="1"/>
        <v>50.56</v>
      </c>
      <c r="I44" s="22"/>
      <c r="J44" s="22"/>
      <c r="K44" s="23"/>
      <c r="L44" s="23"/>
      <c r="M44" s="24"/>
      <c r="N44" s="24"/>
    </row>
    <row r="45" spans="1:14" ht="19.5">
      <c r="A45" s="9" t="s">
        <v>145</v>
      </c>
      <c r="B45" s="15">
        <v>400</v>
      </c>
      <c r="C45" s="13">
        <f t="shared" si="0"/>
        <v>368</v>
      </c>
      <c r="D45" s="10" t="s">
        <v>63</v>
      </c>
      <c r="E45" s="11" t="s">
        <v>74</v>
      </c>
      <c r="F45" s="18">
        <f>12+10+10</f>
        <v>32</v>
      </c>
      <c r="G45" s="25">
        <v>2.54</v>
      </c>
      <c r="H45" s="21">
        <f t="shared" si="1"/>
        <v>81.28</v>
      </c>
      <c r="I45" s="22"/>
      <c r="J45" s="22"/>
      <c r="K45" s="23"/>
      <c r="L45" s="23"/>
      <c r="M45" s="24"/>
      <c r="N45" s="24"/>
    </row>
    <row r="46" spans="1:14" ht="19.5">
      <c r="A46" s="9" t="s">
        <v>146</v>
      </c>
      <c r="B46" s="15">
        <v>120</v>
      </c>
      <c r="C46" s="13">
        <f t="shared" si="0"/>
        <v>108</v>
      </c>
      <c r="D46" s="10" t="s">
        <v>39</v>
      </c>
      <c r="E46" s="11" t="s">
        <v>75</v>
      </c>
      <c r="F46" s="18">
        <f>5+3+4</f>
        <v>12</v>
      </c>
      <c r="G46" s="25">
        <v>4.6399999999999997</v>
      </c>
      <c r="H46" s="21">
        <f t="shared" si="1"/>
        <v>55.679999999999993</v>
      </c>
      <c r="I46" s="22"/>
      <c r="J46" s="22"/>
      <c r="K46" s="23"/>
      <c r="L46" s="23"/>
      <c r="M46" s="24"/>
      <c r="N46" s="24"/>
    </row>
    <row r="47" spans="1:14" ht="31.5">
      <c r="A47" s="9" t="s">
        <v>147</v>
      </c>
      <c r="B47" s="15">
        <v>1200</v>
      </c>
      <c r="C47" s="13">
        <f t="shared" si="0"/>
        <v>1100</v>
      </c>
      <c r="D47" s="10" t="s">
        <v>63</v>
      </c>
      <c r="E47" s="11" t="s">
        <v>76</v>
      </c>
      <c r="F47" s="18">
        <f>50+25+25</f>
        <v>100</v>
      </c>
      <c r="G47" s="25"/>
      <c r="H47" s="21"/>
      <c r="I47" s="22"/>
      <c r="J47" s="22"/>
      <c r="K47" s="23">
        <v>3.65</v>
      </c>
      <c r="L47" s="23">
        <f t="shared" si="2"/>
        <v>365</v>
      </c>
      <c r="M47" s="24"/>
      <c r="N47" s="24"/>
    </row>
    <row r="48" spans="1:14" ht="19.5">
      <c r="A48" s="9" t="s">
        <v>148</v>
      </c>
      <c r="B48" s="15">
        <v>300</v>
      </c>
      <c r="C48" s="13">
        <f t="shared" si="0"/>
        <v>278</v>
      </c>
      <c r="D48" s="10" t="s">
        <v>39</v>
      </c>
      <c r="E48" s="11" t="s">
        <v>77</v>
      </c>
      <c r="F48" s="19">
        <f>20+2</f>
        <v>22</v>
      </c>
      <c r="G48" s="25"/>
      <c r="H48" s="21"/>
      <c r="I48" s="22"/>
      <c r="J48" s="22"/>
      <c r="K48" s="23"/>
      <c r="L48" s="23"/>
      <c r="M48" s="24">
        <v>6.49</v>
      </c>
      <c r="N48" s="24">
        <f t="shared" si="3"/>
        <v>142.78</v>
      </c>
    </row>
    <row r="49" spans="1:14" ht="19.5">
      <c r="A49" s="9" t="s">
        <v>149</v>
      </c>
      <c r="B49" s="15">
        <v>500</v>
      </c>
      <c r="C49" s="13">
        <f t="shared" si="0"/>
        <v>470</v>
      </c>
      <c r="D49" s="10" t="s">
        <v>63</v>
      </c>
      <c r="E49" s="11" t="s">
        <v>78</v>
      </c>
      <c r="F49" s="18">
        <f>20+10</f>
        <v>30</v>
      </c>
      <c r="G49" s="25"/>
      <c r="H49" s="21"/>
      <c r="I49" s="22">
        <v>0.99</v>
      </c>
      <c r="J49" s="22">
        <f t="shared" si="4"/>
        <v>29.7</v>
      </c>
      <c r="K49" s="23"/>
      <c r="L49" s="23"/>
      <c r="M49" s="24"/>
      <c r="N49" s="24"/>
    </row>
    <row r="50" spans="1:14" ht="47.25">
      <c r="A50" s="9" t="s">
        <v>150</v>
      </c>
      <c r="B50" s="15">
        <v>500</v>
      </c>
      <c r="C50" s="13">
        <f t="shared" si="0"/>
        <v>473</v>
      </c>
      <c r="D50" s="10" t="s">
        <v>39</v>
      </c>
      <c r="E50" s="11" t="s">
        <v>79</v>
      </c>
      <c r="F50" s="18">
        <f>20+7</f>
        <v>27</v>
      </c>
      <c r="G50" s="25"/>
      <c r="H50" s="21"/>
      <c r="I50" s="22">
        <v>1.57</v>
      </c>
      <c r="J50" s="22">
        <f t="shared" si="4"/>
        <v>42.39</v>
      </c>
      <c r="K50" s="23"/>
      <c r="L50" s="23"/>
      <c r="M50" s="24"/>
      <c r="N50" s="24"/>
    </row>
    <row r="51" spans="1:14" ht="63">
      <c r="A51" s="9" t="s">
        <v>151</v>
      </c>
      <c r="B51" s="15">
        <v>36</v>
      </c>
      <c r="C51" s="13">
        <f t="shared" si="0"/>
        <v>33</v>
      </c>
      <c r="D51" s="10" t="s">
        <v>63</v>
      </c>
      <c r="E51" s="11" t="s">
        <v>80</v>
      </c>
      <c r="F51" s="18">
        <f>2+1</f>
        <v>3</v>
      </c>
      <c r="G51" s="25"/>
      <c r="H51" s="21"/>
      <c r="I51" s="22">
        <v>2.0499999999999998</v>
      </c>
      <c r="J51" s="22">
        <f t="shared" si="4"/>
        <v>6.1499999999999995</v>
      </c>
      <c r="K51" s="23"/>
      <c r="L51" s="23"/>
      <c r="M51" s="24"/>
      <c r="N51" s="24"/>
    </row>
    <row r="52" spans="1:14" ht="19.5">
      <c r="A52" s="9" t="s">
        <v>152</v>
      </c>
      <c r="B52" s="15">
        <v>30</v>
      </c>
      <c r="C52" s="13">
        <f t="shared" si="0"/>
        <v>28</v>
      </c>
      <c r="D52" s="10" t="s">
        <v>15</v>
      </c>
      <c r="E52" s="11" t="s">
        <v>81</v>
      </c>
      <c r="F52" s="18">
        <f>2</f>
        <v>2</v>
      </c>
      <c r="G52" s="25"/>
      <c r="H52" s="21"/>
      <c r="I52" s="22"/>
      <c r="J52" s="22"/>
      <c r="K52" s="23">
        <v>15.35</v>
      </c>
      <c r="L52" s="23">
        <f t="shared" si="2"/>
        <v>30.7</v>
      </c>
      <c r="M52" s="24"/>
      <c r="N52" s="24"/>
    </row>
    <row r="53" spans="1:14" ht="63">
      <c r="A53" s="9" t="s">
        <v>153</v>
      </c>
      <c r="B53" s="15">
        <v>60</v>
      </c>
      <c r="C53" s="13">
        <f t="shared" si="0"/>
        <v>50</v>
      </c>
      <c r="D53" s="10" t="s">
        <v>82</v>
      </c>
      <c r="E53" s="11" t="s">
        <v>83</v>
      </c>
      <c r="F53" s="18">
        <f>10</f>
        <v>10</v>
      </c>
      <c r="G53" s="25"/>
      <c r="H53" s="21"/>
      <c r="I53" s="22"/>
      <c r="J53" s="22"/>
      <c r="K53" s="23">
        <v>17.47</v>
      </c>
      <c r="L53" s="23">
        <f t="shared" si="2"/>
        <v>174.7</v>
      </c>
      <c r="M53" s="24"/>
      <c r="N53" s="24"/>
    </row>
    <row r="54" spans="1:14" ht="63">
      <c r="A54" s="9" t="s">
        <v>154</v>
      </c>
      <c r="B54" s="15">
        <v>60</v>
      </c>
      <c r="C54" s="13">
        <f t="shared" si="0"/>
        <v>50</v>
      </c>
      <c r="D54" s="10" t="s">
        <v>82</v>
      </c>
      <c r="E54" s="11" t="s">
        <v>84</v>
      </c>
      <c r="F54" s="18">
        <f>10</f>
        <v>10</v>
      </c>
      <c r="G54" s="25"/>
      <c r="H54" s="21"/>
      <c r="I54" s="22"/>
      <c r="J54" s="22"/>
      <c r="K54" s="23">
        <v>17.47</v>
      </c>
      <c r="L54" s="23">
        <f t="shared" si="2"/>
        <v>174.7</v>
      </c>
      <c r="M54" s="24"/>
      <c r="N54" s="24"/>
    </row>
    <row r="55" spans="1:14" ht="31.5">
      <c r="A55" s="9" t="s">
        <v>155</v>
      </c>
      <c r="B55" s="15">
        <v>300</v>
      </c>
      <c r="C55" s="13">
        <f t="shared" si="0"/>
        <v>275</v>
      </c>
      <c r="D55" s="10" t="s">
        <v>54</v>
      </c>
      <c r="E55" s="11" t="s">
        <v>85</v>
      </c>
      <c r="F55" s="20">
        <f>25</f>
        <v>25</v>
      </c>
      <c r="G55" s="25"/>
      <c r="H55" s="21"/>
      <c r="I55" s="22"/>
      <c r="J55" s="22"/>
      <c r="K55" s="23">
        <v>13.23</v>
      </c>
      <c r="L55" s="23">
        <f t="shared" si="2"/>
        <v>330.75</v>
      </c>
      <c r="M55" s="24"/>
      <c r="N55" s="24"/>
    </row>
    <row r="56" spans="1:14" ht="47.25">
      <c r="A56" s="9" t="s">
        <v>156</v>
      </c>
      <c r="B56" s="15">
        <v>30</v>
      </c>
      <c r="C56" s="13">
        <f t="shared" si="0"/>
        <v>28</v>
      </c>
      <c r="D56" s="10" t="s">
        <v>39</v>
      </c>
      <c r="E56" s="11" t="s">
        <v>86</v>
      </c>
      <c r="F56" s="20">
        <f>2</f>
        <v>2</v>
      </c>
      <c r="G56" s="25"/>
      <c r="H56" s="21"/>
      <c r="I56" s="22">
        <v>4.3600000000000003</v>
      </c>
      <c r="J56" s="22">
        <f t="shared" si="4"/>
        <v>8.7200000000000006</v>
      </c>
      <c r="K56" s="23"/>
      <c r="L56" s="23"/>
      <c r="M56" s="24"/>
      <c r="N56" s="24"/>
    </row>
    <row r="57" spans="1:14" ht="31.5">
      <c r="A57" s="9" t="s">
        <v>157</v>
      </c>
      <c r="B57" s="15">
        <v>30</v>
      </c>
      <c r="C57" s="13">
        <f t="shared" si="0"/>
        <v>28</v>
      </c>
      <c r="D57" s="10" t="s">
        <v>39</v>
      </c>
      <c r="E57" s="11" t="s">
        <v>87</v>
      </c>
      <c r="F57" s="20">
        <f>2</f>
        <v>2</v>
      </c>
      <c r="G57" s="25"/>
      <c r="H57" s="21"/>
      <c r="I57" s="22"/>
      <c r="J57" s="22"/>
      <c r="K57" s="23">
        <v>8.9</v>
      </c>
      <c r="L57" s="23">
        <f t="shared" si="2"/>
        <v>17.8</v>
      </c>
      <c r="M57" s="24"/>
      <c r="N57" s="24"/>
    </row>
    <row r="58" spans="1:14" ht="19.5">
      <c r="A58" s="9" t="s">
        <v>158</v>
      </c>
      <c r="B58" s="15">
        <v>20</v>
      </c>
      <c r="C58" s="13">
        <f t="shared" si="0"/>
        <v>19</v>
      </c>
      <c r="D58" s="10" t="s">
        <v>15</v>
      </c>
      <c r="E58" s="11" t="s">
        <v>88</v>
      </c>
      <c r="F58" s="19">
        <f>1</f>
        <v>1</v>
      </c>
      <c r="G58" s="25"/>
      <c r="H58" s="21"/>
      <c r="I58" s="22">
        <v>26.99</v>
      </c>
      <c r="J58" s="22">
        <f t="shared" si="4"/>
        <v>26.99</v>
      </c>
      <c r="K58" s="23"/>
      <c r="L58" s="23"/>
      <c r="M58" s="24"/>
      <c r="N58" s="24"/>
    </row>
    <row r="59" spans="1:14" ht="47.25">
      <c r="A59" s="9" t="s">
        <v>159</v>
      </c>
      <c r="B59" s="15">
        <v>15</v>
      </c>
      <c r="C59" s="13">
        <f t="shared" si="0"/>
        <v>14</v>
      </c>
      <c r="D59" s="10" t="s">
        <v>89</v>
      </c>
      <c r="E59" s="11" t="s">
        <v>90</v>
      </c>
      <c r="F59" s="18">
        <f>1</f>
        <v>1</v>
      </c>
      <c r="G59" s="25"/>
      <c r="H59" s="21"/>
      <c r="I59" s="22"/>
      <c r="J59" s="22"/>
      <c r="K59" s="23">
        <v>129.49</v>
      </c>
      <c r="L59" s="23">
        <f t="shared" si="2"/>
        <v>129.49</v>
      </c>
      <c r="M59" s="24"/>
      <c r="N59" s="24"/>
    </row>
    <row r="60" spans="1:14" ht="31.5">
      <c r="A60" s="9" t="s">
        <v>160</v>
      </c>
      <c r="B60" s="15">
        <v>80</v>
      </c>
      <c r="C60" s="13">
        <f t="shared" si="0"/>
        <v>74</v>
      </c>
      <c r="D60" s="10" t="s">
        <v>63</v>
      </c>
      <c r="E60" s="12" t="s">
        <v>91</v>
      </c>
      <c r="F60" s="17">
        <f>6</f>
        <v>6</v>
      </c>
      <c r="G60" s="21"/>
      <c r="H60" s="21"/>
      <c r="I60" s="22"/>
      <c r="J60" s="22"/>
      <c r="K60" s="23">
        <v>2.97</v>
      </c>
      <c r="L60" s="23">
        <f t="shared" si="2"/>
        <v>17.82</v>
      </c>
      <c r="M60" s="24"/>
      <c r="N60" s="24"/>
    </row>
    <row r="61" spans="1:14" ht="31.5">
      <c r="A61" s="9" t="s">
        <v>161</v>
      </c>
      <c r="B61" s="15">
        <v>500</v>
      </c>
      <c r="C61" s="13">
        <f t="shared" si="0"/>
        <v>460</v>
      </c>
      <c r="D61" s="10" t="s">
        <v>63</v>
      </c>
      <c r="E61" s="11" t="s">
        <v>92</v>
      </c>
      <c r="F61" s="18">
        <f>40</f>
        <v>40</v>
      </c>
      <c r="G61" s="25"/>
      <c r="H61" s="21"/>
      <c r="I61" s="22"/>
      <c r="J61" s="22"/>
      <c r="K61" s="23">
        <v>1.33</v>
      </c>
      <c r="L61" s="23">
        <f t="shared" si="2"/>
        <v>53.2</v>
      </c>
      <c r="M61" s="24"/>
      <c r="N61" s="24"/>
    </row>
    <row r="62" spans="1:14" ht="31.5">
      <c r="A62" s="9" t="s">
        <v>162</v>
      </c>
      <c r="B62" s="15">
        <v>500</v>
      </c>
      <c r="C62" s="13">
        <f t="shared" si="0"/>
        <v>460</v>
      </c>
      <c r="D62" s="10" t="s">
        <v>63</v>
      </c>
      <c r="E62" s="11" t="s">
        <v>93</v>
      </c>
      <c r="F62" s="18">
        <f>40</f>
        <v>40</v>
      </c>
      <c r="G62" s="25"/>
      <c r="H62" s="21"/>
      <c r="I62" s="22"/>
      <c r="J62" s="22"/>
      <c r="K62" s="23">
        <v>1.78</v>
      </c>
      <c r="L62" s="23">
        <f t="shared" si="2"/>
        <v>71.2</v>
      </c>
      <c r="M62" s="24"/>
      <c r="N62" s="24"/>
    </row>
    <row r="63" spans="1:14" ht="31.5">
      <c r="A63" s="9" t="s">
        <v>163</v>
      </c>
      <c r="B63" s="15">
        <v>50</v>
      </c>
      <c r="C63" s="13">
        <f t="shared" si="0"/>
        <v>46</v>
      </c>
      <c r="D63" s="10" t="s">
        <v>63</v>
      </c>
      <c r="E63" s="12" t="s">
        <v>94</v>
      </c>
      <c r="F63" s="18">
        <f>4</f>
        <v>4</v>
      </c>
      <c r="G63" s="25"/>
      <c r="H63" s="21"/>
      <c r="I63" s="22"/>
      <c r="J63" s="22"/>
      <c r="K63" s="23">
        <v>3.88</v>
      </c>
      <c r="L63" s="23">
        <f t="shared" si="2"/>
        <v>15.52</v>
      </c>
      <c r="M63" s="24"/>
      <c r="N63" s="24"/>
    </row>
    <row r="64" spans="1:14" ht="31.5">
      <c r="A64" s="9" t="s">
        <v>164</v>
      </c>
      <c r="B64" s="15">
        <v>600</v>
      </c>
      <c r="C64" s="13">
        <f t="shared" si="0"/>
        <v>550</v>
      </c>
      <c r="D64" s="10" t="s">
        <v>63</v>
      </c>
      <c r="E64" s="11" t="s">
        <v>95</v>
      </c>
      <c r="F64" s="18">
        <f>50</f>
        <v>50</v>
      </c>
      <c r="G64" s="25"/>
      <c r="H64" s="21"/>
      <c r="I64" s="22"/>
      <c r="J64" s="22"/>
      <c r="K64" s="23">
        <v>0.87</v>
      </c>
      <c r="L64" s="23">
        <f t="shared" si="2"/>
        <v>43.5</v>
      </c>
      <c r="M64" s="24"/>
      <c r="N64" s="24"/>
    </row>
    <row r="65" spans="1:14" ht="31.5">
      <c r="A65" s="9" t="s">
        <v>165</v>
      </c>
      <c r="B65" s="15">
        <v>60</v>
      </c>
      <c r="C65" s="13">
        <f t="shared" si="0"/>
        <v>55</v>
      </c>
      <c r="D65" s="10" t="s">
        <v>63</v>
      </c>
      <c r="E65" s="11" t="s">
        <v>96</v>
      </c>
      <c r="F65" s="19">
        <f>5</f>
        <v>5</v>
      </c>
      <c r="G65" s="25"/>
      <c r="H65" s="21"/>
      <c r="I65" s="22"/>
      <c r="J65" s="22"/>
      <c r="K65" s="23">
        <v>3.09</v>
      </c>
      <c r="L65" s="23">
        <f t="shared" si="2"/>
        <v>15.45</v>
      </c>
      <c r="M65" s="24"/>
      <c r="N65" s="24"/>
    </row>
    <row r="66" spans="1:14" ht="31.5">
      <c r="A66" s="9" t="s">
        <v>166</v>
      </c>
      <c r="B66" s="15">
        <v>100</v>
      </c>
      <c r="C66" s="13">
        <f t="shared" si="0"/>
        <v>92</v>
      </c>
      <c r="D66" s="10" t="s">
        <v>63</v>
      </c>
      <c r="E66" s="11" t="s">
        <v>97</v>
      </c>
      <c r="F66" s="18">
        <f>8</f>
        <v>8</v>
      </c>
      <c r="G66" s="25"/>
      <c r="H66" s="21"/>
      <c r="I66" s="22"/>
      <c r="J66" s="22"/>
      <c r="K66" s="23">
        <v>3.14</v>
      </c>
      <c r="L66" s="23">
        <f t="shared" si="2"/>
        <v>25.12</v>
      </c>
      <c r="M66" s="24"/>
      <c r="N66" s="24"/>
    </row>
    <row r="67" spans="1:14" ht="31.5">
      <c r="A67" s="9" t="s">
        <v>167</v>
      </c>
      <c r="B67" s="15">
        <v>100</v>
      </c>
      <c r="C67" s="13">
        <f t="shared" si="0"/>
        <v>92</v>
      </c>
      <c r="D67" s="10" t="s">
        <v>63</v>
      </c>
      <c r="E67" s="11" t="s">
        <v>98</v>
      </c>
      <c r="F67" s="18">
        <f>8</f>
        <v>8</v>
      </c>
      <c r="G67" s="25"/>
      <c r="H67" s="21"/>
      <c r="I67" s="22"/>
      <c r="J67" s="22"/>
      <c r="K67" s="23">
        <v>3.53</v>
      </c>
      <c r="L67" s="23">
        <f t="shared" si="2"/>
        <v>28.24</v>
      </c>
      <c r="M67" s="24"/>
      <c r="N67" s="24"/>
    </row>
    <row r="68" spans="1:14" ht="31.5">
      <c r="A68" s="9" t="s">
        <v>168</v>
      </c>
      <c r="B68" s="15">
        <v>100</v>
      </c>
      <c r="C68" s="13">
        <f t="shared" si="0"/>
        <v>92</v>
      </c>
      <c r="D68" s="10" t="s">
        <v>63</v>
      </c>
      <c r="E68" s="11" t="s">
        <v>99</v>
      </c>
      <c r="F68" s="18">
        <f>8</f>
        <v>8</v>
      </c>
      <c r="G68" s="25"/>
      <c r="H68" s="21"/>
      <c r="I68" s="22"/>
      <c r="J68" s="22"/>
      <c r="K68" s="23">
        <v>3.29</v>
      </c>
      <c r="L68" s="23">
        <f t="shared" si="2"/>
        <v>26.32</v>
      </c>
      <c r="M68" s="24"/>
      <c r="N68" s="24"/>
    </row>
    <row r="69" spans="1:14" ht="31.5">
      <c r="A69" s="9" t="s">
        <v>169</v>
      </c>
      <c r="B69" s="15">
        <v>100</v>
      </c>
      <c r="C69" s="13">
        <f t="shared" si="0"/>
        <v>92</v>
      </c>
      <c r="D69" s="10" t="s">
        <v>63</v>
      </c>
      <c r="E69" s="11" t="s">
        <v>100</v>
      </c>
      <c r="F69" s="18">
        <f>8</f>
        <v>8</v>
      </c>
      <c r="G69" s="25"/>
      <c r="H69" s="21"/>
      <c r="I69" s="22"/>
      <c r="J69" s="22"/>
      <c r="K69" s="23">
        <v>3.29</v>
      </c>
      <c r="L69" s="23">
        <f t="shared" si="2"/>
        <v>26.32</v>
      </c>
      <c r="M69" s="24"/>
      <c r="N69" s="24"/>
    </row>
    <row r="70" spans="1:14" ht="19.5">
      <c r="A70" s="9" t="s">
        <v>170</v>
      </c>
      <c r="B70" s="15">
        <v>120</v>
      </c>
      <c r="C70" s="13">
        <f t="shared" si="0"/>
        <v>110</v>
      </c>
      <c r="D70" s="10" t="s">
        <v>44</v>
      </c>
      <c r="E70" s="11" t="s">
        <v>101</v>
      </c>
      <c r="F70" s="18">
        <f>10</f>
        <v>10</v>
      </c>
      <c r="G70" s="25"/>
      <c r="H70" s="21"/>
      <c r="I70" s="22"/>
      <c r="J70" s="22"/>
      <c r="K70" s="23"/>
      <c r="L70" s="23"/>
      <c r="M70" s="24">
        <v>3.99</v>
      </c>
      <c r="N70" s="24">
        <f t="shared" si="3"/>
        <v>39.900000000000006</v>
      </c>
    </row>
    <row r="71" spans="1:14" ht="47.25">
      <c r="A71" s="9" t="s">
        <v>171</v>
      </c>
      <c r="B71" s="15">
        <v>10</v>
      </c>
      <c r="C71" s="13">
        <f t="shared" si="0"/>
        <v>9</v>
      </c>
      <c r="D71" s="10" t="s">
        <v>102</v>
      </c>
      <c r="E71" s="11" t="s">
        <v>103</v>
      </c>
      <c r="F71" s="18">
        <f>1</f>
        <v>1</v>
      </c>
      <c r="G71" s="25"/>
      <c r="H71" s="21"/>
      <c r="I71" s="22"/>
      <c r="J71" s="22"/>
      <c r="K71" s="23">
        <v>13.4</v>
      </c>
      <c r="L71" s="23">
        <f t="shared" si="2"/>
        <v>13.4</v>
      </c>
      <c r="M71" s="24"/>
      <c r="N71" s="24"/>
    </row>
    <row r="72" spans="1:14" ht="19.5">
      <c r="A72" s="9" t="s">
        <v>172</v>
      </c>
      <c r="B72" s="15">
        <v>30</v>
      </c>
      <c r="C72" s="13">
        <f t="shared" si="0"/>
        <v>28</v>
      </c>
      <c r="D72" s="10" t="s">
        <v>102</v>
      </c>
      <c r="E72" s="11" t="s">
        <v>104</v>
      </c>
      <c r="F72" s="20">
        <f>2</f>
        <v>2</v>
      </c>
      <c r="G72" s="25"/>
      <c r="H72" s="21"/>
      <c r="I72" s="22"/>
      <c r="J72" s="22"/>
      <c r="K72" s="23">
        <v>5.7</v>
      </c>
      <c r="L72" s="23">
        <f t="shared" si="2"/>
        <v>11.4</v>
      </c>
      <c r="M72" s="24"/>
      <c r="N72" s="24"/>
    </row>
    <row r="73" spans="1:14" ht="19.5">
      <c r="A73" s="9" t="s">
        <v>173</v>
      </c>
      <c r="B73" s="15">
        <v>200</v>
      </c>
      <c r="C73" s="13">
        <f t="shared" si="0"/>
        <v>184</v>
      </c>
      <c r="D73" s="10" t="s">
        <v>63</v>
      </c>
      <c r="E73" s="11" t="s">
        <v>105</v>
      </c>
      <c r="F73" s="20">
        <f>16</f>
        <v>16</v>
      </c>
      <c r="G73" s="25"/>
      <c r="H73" s="21"/>
      <c r="I73" s="22"/>
      <c r="J73" s="22"/>
      <c r="K73" s="23"/>
      <c r="L73" s="23"/>
      <c r="M73" s="24">
        <v>8.89</v>
      </c>
      <c r="N73" s="24">
        <f t="shared" si="3"/>
        <v>142.24</v>
      </c>
    </row>
    <row r="74" spans="1:14" ht="47.25">
      <c r="A74" s="9" t="s">
        <v>174</v>
      </c>
      <c r="B74" s="15">
        <v>20</v>
      </c>
      <c r="C74" s="13">
        <f t="shared" ref="C74:C91" si="5">B74-F74</f>
        <v>20</v>
      </c>
      <c r="D74" s="10" t="s">
        <v>44</v>
      </c>
      <c r="E74" s="11" t="s">
        <v>106</v>
      </c>
      <c r="F74" s="20"/>
      <c r="G74" s="25"/>
      <c r="H74" s="21"/>
      <c r="I74" s="22">
        <v>7.58</v>
      </c>
      <c r="J74" s="22">
        <f t="shared" ref="J74" si="6">F74*I74</f>
        <v>0</v>
      </c>
      <c r="K74" s="23"/>
      <c r="L74" s="23"/>
      <c r="M74" s="24"/>
      <c r="N74" s="24"/>
    </row>
    <row r="75" spans="1:14" ht="63">
      <c r="A75" s="9" t="s">
        <v>175</v>
      </c>
      <c r="B75" s="15">
        <v>30</v>
      </c>
      <c r="C75" s="13">
        <f t="shared" si="5"/>
        <v>28</v>
      </c>
      <c r="D75" s="10" t="s">
        <v>44</v>
      </c>
      <c r="E75" s="11" t="s">
        <v>107</v>
      </c>
      <c r="F75" s="19">
        <f>2</f>
        <v>2</v>
      </c>
      <c r="G75" s="25"/>
      <c r="H75" s="21"/>
      <c r="I75" s="22"/>
      <c r="J75" s="22"/>
      <c r="K75" s="23">
        <v>11.4</v>
      </c>
      <c r="L75" s="23">
        <f t="shared" ref="L75:L91" si="7">F75*K75</f>
        <v>22.8</v>
      </c>
      <c r="M75" s="24"/>
      <c r="N75" s="24"/>
    </row>
    <row r="76" spans="1:14" ht="19.5">
      <c r="A76" s="9" t="s">
        <v>176</v>
      </c>
      <c r="B76" s="15">
        <v>40</v>
      </c>
      <c r="C76" s="13">
        <f t="shared" si="5"/>
        <v>37</v>
      </c>
      <c r="D76" s="10" t="s">
        <v>44</v>
      </c>
      <c r="E76" s="11" t="s">
        <v>108</v>
      </c>
      <c r="F76" s="18">
        <f>3</f>
        <v>3</v>
      </c>
      <c r="G76" s="25"/>
      <c r="H76" s="21"/>
      <c r="I76" s="22"/>
      <c r="J76" s="22"/>
      <c r="K76" s="23">
        <v>2.1800000000000002</v>
      </c>
      <c r="L76" s="23">
        <f t="shared" si="7"/>
        <v>6.5400000000000009</v>
      </c>
      <c r="M76" s="24"/>
      <c r="N76" s="24"/>
    </row>
    <row r="77" spans="1:14" ht="19.5">
      <c r="A77" s="9" t="s">
        <v>177</v>
      </c>
      <c r="B77" s="15">
        <v>20</v>
      </c>
      <c r="C77" s="13">
        <f t="shared" si="5"/>
        <v>20</v>
      </c>
      <c r="D77" s="10" t="s">
        <v>44</v>
      </c>
      <c r="E77" s="11" t="s">
        <v>109</v>
      </c>
      <c r="F77" s="17"/>
      <c r="G77" s="21">
        <v>3.9</v>
      </c>
      <c r="H77" s="21">
        <f t="shared" ref="H77" si="8">F77*G77</f>
        <v>0</v>
      </c>
      <c r="I77" s="22"/>
      <c r="J77" s="22"/>
      <c r="K77" s="23"/>
      <c r="L77" s="23"/>
      <c r="M77" s="24"/>
      <c r="N77" s="24"/>
    </row>
    <row r="78" spans="1:14" ht="19.5">
      <c r="A78" s="9" t="s">
        <v>178</v>
      </c>
      <c r="B78" s="15">
        <v>20</v>
      </c>
      <c r="C78" s="13">
        <f t="shared" si="5"/>
        <v>19</v>
      </c>
      <c r="D78" s="10" t="s">
        <v>44</v>
      </c>
      <c r="E78" s="11" t="s">
        <v>110</v>
      </c>
      <c r="F78" s="18">
        <f>1</f>
        <v>1</v>
      </c>
      <c r="G78" s="25"/>
      <c r="H78" s="21"/>
      <c r="I78" s="22"/>
      <c r="J78" s="22"/>
      <c r="K78" s="23">
        <v>14.89</v>
      </c>
      <c r="L78" s="23">
        <f t="shared" si="7"/>
        <v>14.89</v>
      </c>
      <c r="M78" s="24"/>
      <c r="N78" s="24"/>
    </row>
    <row r="79" spans="1:14" ht="19.5">
      <c r="A79" s="9" t="s">
        <v>179</v>
      </c>
      <c r="B79" s="15">
        <v>120</v>
      </c>
      <c r="C79" s="13">
        <f t="shared" si="5"/>
        <v>110</v>
      </c>
      <c r="D79" s="10" t="s">
        <v>44</v>
      </c>
      <c r="E79" s="11" t="s">
        <v>111</v>
      </c>
      <c r="F79" s="18">
        <f>10</f>
        <v>10</v>
      </c>
      <c r="G79" s="25"/>
      <c r="H79" s="21"/>
      <c r="I79" s="22"/>
      <c r="J79" s="22"/>
      <c r="K79" s="23"/>
      <c r="L79" s="23"/>
      <c r="M79" s="24">
        <v>3.7</v>
      </c>
      <c r="N79" s="24">
        <f t="shared" ref="N79:N80" si="9">F79*M79</f>
        <v>37</v>
      </c>
    </row>
    <row r="80" spans="1:14" ht="19.5">
      <c r="A80" s="9" t="s">
        <v>180</v>
      </c>
      <c r="B80" s="15">
        <v>200</v>
      </c>
      <c r="C80" s="13">
        <f t="shared" si="5"/>
        <v>184</v>
      </c>
      <c r="D80" s="10" t="s">
        <v>39</v>
      </c>
      <c r="E80" s="11" t="s">
        <v>112</v>
      </c>
      <c r="F80" s="18">
        <f>16</f>
        <v>16</v>
      </c>
      <c r="G80" s="25"/>
      <c r="H80" s="21"/>
      <c r="I80" s="22"/>
      <c r="J80" s="22"/>
      <c r="K80" s="23"/>
      <c r="L80" s="23"/>
      <c r="M80" s="24">
        <v>6.34</v>
      </c>
      <c r="N80" s="24">
        <f t="shared" si="9"/>
        <v>101.44</v>
      </c>
    </row>
    <row r="81" spans="1:14" ht="19.5">
      <c r="A81" s="9" t="s">
        <v>181</v>
      </c>
      <c r="B81" s="15">
        <v>200</v>
      </c>
      <c r="C81" s="13">
        <f t="shared" si="5"/>
        <v>184</v>
      </c>
      <c r="D81" s="10" t="s">
        <v>102</v>
      </c>
      <c r="E81" s="11" t="s">
        <v>113</v>
      </c>
      <c r="F81" s="18">
        <f>16</f>
        <v>16</v>
      </c>
      <c r="G81" s="25"/>
      <c r="H81" s="21"/>
      <c r="I81" s="22"/>
      <c r="J81" s="22"/>
      <c r="K81" s="23">
        <v>1.18</v>
      </c>
      <c r="L81" s="23">
        <f t="shared" si="7"/>
        <v>18.88</v>
      </c>
      <c r="M81" s="24"/>
      <c r="N81" s="24"/>
    </row>
    <row r="82" spans="1:14" ht="19.5">
      <c r="A82" s="9" t="s">
        <v>182</v>
      </c>
      <c r="B82" s="15">
        <v>200</v>
      </c>
      <c r="C82" s="13">
        <f t="shared" si="5"/>
        <v>184</v>
      </c>
      <c r="D82" s="10" t="s">
        <v>63</v>
      </c>
      <c r="E82" s="11" t="s">
        <v>114</v>
      </c>
      <c r="F82" s="19">
        <f>16</f>
        <v>16</v>
      </c>
      <c r="G82" s="25"/>
      <c r="H82" s="21"/>
      <c r="I82" s="22"/>
      <c r="J82" s="22"/>
      <c r="K82" s="23">
        <v>3.6</v>
      </c>
      <c r="L82" s="23">
        <f t="shared" si="7"/>
        <v>57.6</v>
      </c>
      <c r="M82" s="24"/>
      <c r="N82" s="24"/>
    </row>
    <row r="83" spans="1:14" ht="19.5">
      <c r="A83" s="9" t="s">
        <v>183</v>
      </c>
      <c r="B83" s="15">
        <v>200</v>
      </c>
      <c r="C83" s="13">
        <f t="shared" si="5"/>
        <v>184</v>
      </c>
      <c r="D83" s="10" t="s">
        <v>44</v>
      </c>
      <c r="E83" s="11" t="s">
        <v>115</v>
      </c>
      <c r="F83" s="18">
        <f>16</f>
        <v>16</v>
      </c>
      <c r="G83" s="25"/>
      <c r="H83" s="21"/>
      <c r="I83" s="22"/>
      <c r="J83" s="22"/>
      <c r="K83" s="23">
        <v>1.0900000000000001</v>
      </c>
      <c r="L83" s="23">
        <f t="shared" si="7"/>
        <v>17.440000000000001</v>
      </c>
      <c r="M83" s="24"/>
      <c r="N83" s="24"/>
    </row>
    <row r="84" spans="1:14" ht="19.5">
      <c r="A84" s="9" t="s">
        <v>184</v>
      </c>
      <c r="B84" s="15">
        <v>300</v>
      </c>
      <c r="C84" s="13">
        <f t="shared" si="5"/>
        <v>275</v>
      </c>
      <c r="D84" s="10" t="s">
        <v>63</v>
      </c>
      <c r="E84" s="11" t="s">
        <v>116</v>
      </c>
      <c r="F84" s="18">
        <f>25</f>
        <v>25</v>
      </c>
      <c r="G84" s="25"/>
      <c r="H84" s="21"/>
      <c r="I84" s="22"/>
      <c r="J84" s="22"/>
      <c r="K84" s="23">
        <v>1.38</v>
      </c>
      <c r="L84" s="23">
        <f t="shared" si="7"/>
        <v>34.5</v>
      </c>
      <c r="M84" s="24"/>
      <c r="N84" s="24"/>
    </row>
    <row r="85" spans="1:14" ht="19.5">
      <c r="A85" s="9" t="s">
        <v>185</v>
      </c>
      <c r="B85" s="15">
        <v>100</v>
      </c>
      <c r="C85" s="13">
        <f t="shared" si="5"/>
        <v>92</v>
      </c>
      <c r="D85" s="10" t="s">
        <v>63</v>
      </c>
      <c r="E85" s="11" t="s">
        <v>117</v>
      </c>
      <c r="F85" s="18">
        <f>8</f>
        <v>8</v>
      </c>
      <c r="G85" s="25"/>
      <c r="H85" s="21"/>
      <c r="I85" s="22"/>
      <c r="J85" s="22"/>
      <c r="K85" s="23">
        <v>0.9</v>
      </c>
      <c r="L85" s="23">
        <f t="shared" si="7"/>
        <v>7.2</v>
      </c>
      <c r="M85" s="24"/>
      <c r="N85" s="24"/>
    </row>
    <row r="86" spans="1:14" ht="19.5">
      <c r="A86" s="9" t="s">
        <v>186</v>
      </c>
      <c r="B86" s="15">
        <v>160</v>
      </c>
      <c r="C86" s="13">
        <f t="shared" si="5"/>
        <v>147</v>
      </c>
      <c r="D86" s="10" t="s">
        <v>44</v>
      </c>
      <c r="E86" s="11" t="s">
        <v>118</v>
      </c>
      <c r="F86" s="18">
        <f>13</f>
        <v>13</v>
      </c>
      <c r="G86" s="25"/>
      <c r="H86" s="21"/>
      <c r="I86" s="22"/>
      <c r="J86" s="22"/>
      <c r="K86" s="23">
        <v>4.87</v>
      </c>
      <c r="L86" s="23">
        <f t="shared" si="7"/>
        <v>63.31</v>
      </c>
      <c r="M86" s="24"/>
      <c r="N86" s="24"/>
    </row>
    <row r="87" spans="1:14" ht="19.5">
      <c r="A87" s="9" t="s">
        <v>187</v>
      </c>
      <c r="B87" s="15">
        <v>100</v>
      </c>
      <c r="C87" s="13">
        <f t="shared" si="5"/>
        <v>92</v>
      </c>
      <c r="D87" s="10" t="s">
        <v>102</v>
      </c>
      <c r="E87" s="11" t="s">
        <v>119</v>
      </c>
      <c r="F87" s="18">
        <f>8</f>
        <v>8</v>
      </c>
      <c r="G87" s="25"/>
      <c r="H87" s="21"/>
      <c r="I87" s="22"/>
      <c r="J87" s="22"/>
      <c r="K87" s="23">
        <v>2.19</v>
      </c>
      <c r="L87" s="23">
        <f t="shared" si="7"/>
        <v>17.52</v>
      </c>
      <c r="M87" s="24"/>
      <c r="N87" s="24"/>
    </row>
    <row r="88" spans="1:14" ht="31.5">
      <c r="A88" s="9" t="s">
        <v>188</v>
      </c>
      <c r="B88" s="16">
        <v>50</v>
      </c>
      <c r="C88" s="13">
        <f t="shared" si="5"/>
        <v>46</v>
      </c>
      <c r="D88" s="10" t="s">
        <v>120</v>
      </c>
      <c r="E88" s="11" t="s">
        <v>121</v>
      </c>
      <c r="F88" s="18">
        <f>4</f>
        <v>4</v>
      </c>
      <c r="G88" s="25"/>
      <c r="H88" s="21"/>
      <c r="I88" s="22"/>
      <c r="J88" s="22"/>
      <c r="K88" s="23">
        <v>4.58</v>
      </c>
      <c r="L88" s="23">
        <f t="shared" si="7"/>
        <v>18.32</v>
      </c>
      <c r="M88" s="24"/>
      <c r="N88" s="24"/>
    </row>
    <row r="89" spans="1:14" ht="19.5">
      <c r="A89" s="9" t="s">
        <v>189</v>
      </c>
      <c r="B89" s="15">
        <v>120</v>
      </c>
      <c r="C89" s="13">
        <f t="shared" si="5"/>
        <v>110</v>
      </c>
      <c r="D89" s="10" t="s">
        <v>44</v>
      </c>
      <c r="E89" s="11" t="s">
        <v>122</v>
      </c>
      <c r="F89" s="20">
        <f>10</f>
        <v>10</v>
      </c>
      <c r="G89" s="25"/>
      <c r="H89" s="21"/>
      <c r="I89" s="22"/>
      <c r="J89" s="22"/>
      <c r="K89" s="23">
        <v>4.6100000000000003</v>
      </c>
      <c r="L89" s="23">
        <f t="shared" si="7"/>
        <v>46.1</v>
      </c>
      <c r="M89" s="24"/>
      <c r="N89" s="24"/>
    </row>
    <row r="90" spans="1:14" ht="19.5">
      <c r="A90" s="9" t="s">
        <v>190</v>
      </c>
      <c r="B90" s="15">
        <v>120</v>
      </c>
      <c r="C90" s="13">
        <f t="shared" si="5"/>
        <v>110</v>
      </c>
      <c r="D90" s="10" t="s">
        <v>44</v>
      </c>
      <c r="E90" s="11" t="s">
        <v>123</v>
      </c>
      <c r="F90" s="20">
        <f>10</f>
        <v>10</v>
      </c>
      <c r="G90" s="25"/>
      <c r="H90" s="21"/>
      <c r="I90" s="22"/>
      <c r="J90" s="22"/>
      <c r="K90" s="23">
        <v>4.13</v>
      </c>
      <c r="L90" s="23">
        <f t="shared" si="7"/>
        <v>41.3</v>
      </c>
      <c r="M90" s="24"/>
      <c r="N90" s="24"/>
    </row>
    <row r="91" spans="1:14" ht="19.5">
      <c r="A91" s="9" t="s">
        <v>191</v>
      </c>
      <c r="B91" s="15">
        <v>48</v>
      </c>
      <c r="C91" s="13">
        <f t="shared" si="5"/>
        <v>44</v>
      </c>
      <c r="D91" s="10" t="s">
        <v>44</v>
      </c>
      <c r="E91" s="11" t="s">
        <v>124</v>
      </c>
      <c r="F91" s="20">
        <f>4</f>
        <v>4</v>
      </c>
      <c r="G91" s="25"/>
      <c r="H91" s="21"/>
      <c r="I91" s="22"/>
      <c r="J91" s="22"/>
      <c r="K91" s="23">
        <v>4.99</v>
      </c>
      <c r="L91" s="23">
        <f t="shared" si="7"/>
        <v>19.96</v>
      </c>
      <c r="M91" s="24"/>
      <c r="N91" s="24"/>
    </row>
    <row r="92" spans="1:14" ht="20.25">
      <c r="A92" s="43" t="s">
        <v>13</v>
      </c>
      <c r="B92" s="43"/>
      <c r="C92" s="43"/>
      <c r="D92" s="43"/>
      <c r="E92" s="43"/>
      <c r="F92" s="44"/>
      <c r="G92" s="45">
        <f>SUM(H9:H91)</f>
        <v>2778.2000000000003</v>
      </c>
      <c r="H92" s="46"/>
      <c r="I92" s="47">
        <f>SUM(J9:J91)</f>
        <v>2228.7299999999991</v>
      </c>
      <c r="J92" s="48"/>
      <c r="K92" s="49">
        <f>SUM(L9:L91)</f>
        <v>3481.9200000000005</v>
      </c>
      <c r="L92" s="50"/>
      <c r="M92" s="51">
        <f>SUM(N9:N91)</f>
        <v>1428.9000000000003</v>
      </c>
      <c r="N92" s="52"/>
    </row>
    <row r="93" spans="1:14" ht="15.75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</row>
  </sheetData>
  <mergeCells count="19">
    <mergeCell ref="M7:N7"/>
    <mergeCell ref="A2:L2"/>
    <mergeCell ref="A3:L3"/>
    <mergeCell ref="A4:L4"/>
    <mergeCell ref="A5:L5"/>
    <mergeCell ref="A7:A8"/>
    <mergeCell ref="B7:B8"/>
    <mergeCell ref="C7:C8"/>
    <mergeCell ref="D7:D8"/>
    <mergeCell ref="E7:E8"/>
    <mergeCell ref="F7:F8"/>
    <mergeCell ref="G7:H7"/>
    <mergeCell ref="I7:J7"/>
    <mergeCell ref="K7:L7"/>
    <mergeCell ref="A92:F92"/>
    <mergeCell ref="G92:H92"/>
    <mergeCell ref="I92:J92"/>
    <mergeCell ref="K92:L92"/>
    <mergeCell ref="M92:N92"/>
  </mergeCells>
  <conditionalFormatting sqref="C9:C91">
    <cfRule type="cellIs" dxfId="10" priority="1" operator="lessThan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00"/>
  <sheetViews>
    <sheetView workbookViewId="0">
      <selection sqref="A1:XFD1048576"/>
    </sheetView>
  </sheetViews>
  <sheetFormatPr defaultRowHeight="15"/>
  <cols>
    <col min="2" max="2" width="12.7109375" customWidth="1"/>
    <col min="3" max="3" width="13.28515625" customWidth="1"/>
    <col min="5" max="5" width="52.42578125" customWidth="1"/>
    <col min="6" max="6" width="18.28515625" customWidth="1"/>
    <col min="7" max="7" width="8" bestFit="1" customWidth="1"/>
    <col min="8" max="8" width="10.140625" bestFit="1" customWidth="1"/>
    <col min="9" max="9" width="10.140625" customWidth="1"/>
    <col min="10" max="10" width="14.140625" customWidth="1"/>
  </cols>
  <sheetData>
    <row r="1" spans="1:10">
      <c r="A1" s="1"/>
      <c r="B1" s="2"/>
      <c r="C1" s="2"/>
      <c r="D1" s="1"/>
      <c r="E1" s="1"/>
      <c r="F1" s="1"/>
      <c r="G1" s="1"/>
      <c r="H1" s="1"/>
      <c r="I1" s="1"/>
      <c r="J1" s="1"/>
    </row>
    <row r="2" spans="1:10" ht="15" customHeight="1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ht="15" customHeight="1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</row>
    <row r="4" spans="1:10" ht="15" customHeight="1">
      <c r="A4" s="54" t="s">
        <v>2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ht="15" customHeight="1">
      <c r="A5" s="54" t="s">
        <v>125</v>
      </c>
      <c r="B5" s="54"/>
      <c r="C5" s="54"/>
      <c r="D5" s="54"/>
      <c r="E5" s="54"/>
      <c r="F5" s="54"/>
      <c r="G5" s="54"/>
      <c r="H5" s="54"/>
      <c r="I5" s="54"/>
      <c r="J5" s="54"/>
    </row>
    <row r="6" spans="1:10" ht="18.75">
      <c r="A6" s="32"/>
      <c r="B6" s="32"/>
      <c r="C6" s="32"/>
      <c r="D6" s="32"/>
      <c r="E6" s="32"/>
      <c r="F6" s="32"/>
      <c r="G6" s="32"/>
      <c r="H6" s="32"/>
      <c r="I6" s="4"/>
      <c r="J6" s="4"/>
    </row>
    <row r="7" spans="1:10" ht="19.5" customHeight="1">
      <c r="A7" s="64" t="s">
        <v>3</v>
      </c>
      <c r="B7" s="64" t="s">
        <v>4</v>
      </c>
      <c r="C7" s="57" t="s">
        <v>5</v>
      </c>
      <c r="D7" s="64" t="s">
        <v>6</v>
      </c>
      <c r="E7" s="64" t="s">
        <v>7</v>
      </c>
      <c r="F7" s="59" t="s">
        <v>8</v>
      </c>
      <c r="G7" s="67" t="s">
        <v>193</v>
      </c>
      <c r="H7" s="68"/>
      <c r="I7" s="69" t="s">
        <v>194</v>
      </c>
      <c r="J7" s="70"/>
    </row>
    <row r="8" spans="1:10" ht="19.5">
      <c r="A8" s="65"/>
      <c r="B8" s="65"/>
      <c r="C8" s="58"/>
      <c r="D8" s="65"/>
      <c r="E8" s="65"/>
      <c r="F8" s="66"/>
      <c r="G8" s="5" t="s">
        <v>12</v>
      </c>
      <c r="H8" s="5" t="s">
        <v>13</v>
      </c>
      <c r="I8" s="6" t="s">
        <v>12</v>
      </c>
      <c r="J8" s="6" t="s">
        <v>13</v>
      </c>
    </row>
    <row r="9" spans="1:10" ht="19.5">
      <c r="A9" s="9" t="s">
        <v>14</v>
      </c>
      <c r="B9" s="15">
        <v>20000</v>
      </c>
      <c r="C9" s="13">
        <f>B9-F9</f>
        <v>20000</v>
      </c>
      <c r="D9" s="10" t="s">
        <v>15</v>
      </c>
      <c r="E9" s="30" t="s">
        <v>33</v>
      </c>
      <c r="F9" s="17"/>
      <c r="G9" s="21"/>
      <c r="H9" s="21"/>
      <c r="I9" s="22">
        <v>4.3</v>
      </c>
      <c r="J9" s="22">
        <f>F9*I9</f>
        <v>0</v>
      </c>
    </row>
    <row r="10" spans="1:10" ht="19.5">
      <c r="A10" s="9" t="s">
        <v>16</v>
      </c>
      <c r="B10" s="15">
        <v>2000</v>
      </c>
      <c r="C10" s="13">
        <f t="shared" ref="C10:C73" si="0">B10-F10</f>
        <v>2000</v>
      </c>
      <c r="D10" s="10" t="s">
        <v>15</v>
      </c>
      <c r="E10" s="30" t="s">
        <v>34</v>
      </c>
      <c r="F10" s="18"/>
      <c r="G10" s="25"/>
      <c r="H10" s="21"/>
      <c r="I10" s="22">
        <v>8.18</v>
      </c>
      <c r="J10" s="22">
        <f t="shared" ref="J10:J26" si="1">F10*I10</f>
        <v>0</v>
      </c>
    </row>
    <row r="11" spans="1:10" ht="31.5">
      <c r="A11" s="9" t="s">
        <v>17</v>
      </c>
      <c r="B11" s="15">
        <v>2000</v>
      </c>
      <c r="C11" s="13">
        <f t="shared" si="0"/>
        <v>2000</v>
      </c>
      <c r="D11" s="10" t="s">
        <v>35</v>
      </c>
      <c r="E11" s="30" t="s">
        <v>36</v>
      </c>
      <c r="F11" s="18"/>
      <c r="G11" s="25"/>
      <c r="H11" s="21"/>
      <c r="I11" s="22">
        <v>3.2</v>
      </c>
      <c r="J11" s="22">
        <f t="shared" si="1"/>
        <v>0</v>
      </c>
    </row>
    <row r="12" spans="1:10" ht="19.5">
      <c r="A12" s="9" t="s">
        <v>18</v>
      </c>
      <c r="B12" s="15">
        <v>200</v>
      </c>
      <c r="C12" s="13">
        <f t="shared" si="0"/>
        <v>200</v>
      </c>
      <c r="D12" s="10" t="s">
        <v>15</v>
      </c>
      <c r="E12" s="30" t="s">
        <v>37</v>
      </c>
      <c r="F12" s="18"/>
      <c r="G12" s="25"/>
      <c r="H12" s="21"/>
      <c r="I12" s="22">
        <v>1.5</v>
      </c>
      <c r="J12" s="22">
        <f t="shared" si="1"/>
        <v>0</v>
      </c>
    </row>
    <row r="13" spans="1:10" ht="19.5">
      <c r="A13" s="9" t="s">
        <v>19</v>
      </c>
      <c r="B13" s="15">
        <v>2000</v>
      </c>
      <c r="C13" s="13">
        <f t="shared" si="0"/>
        <v>2000</v>
      </c>
      <c r="D13" s="10" t="s">
        <v>15</v>
      </c>
      <c r="E13" s="30" t="s">
        <v>38</v>
      </c>
      <c r="F13" s="18"/>
      <c r="G13" s="25"/>
      <c r="H13" s="21"/>
      <c r="I13" s="22">
        <v>4.5</v>
      </c>
      <c r="J13" s="22">
        <f t="shared" si="1"/>
        <v>0</v>
      </c>
    </row>
    <row r="14" spans="1:10" ht="31.5">
      <c r="A14" s="9" t="s">
        <v>20</v>
      </c>
      <c r="B14" s="15">
        <v>500</v>
      </c>
      <c r="C14" s="13">
        <f t="shared" si="0"/>
        <v>500</v>
      </c>
      <c r="D14" s="10" t="s">
        <v>39</v>
      </c>
      <c r="E14" s="30" t="s">
        <v>40</v>
      </c>
      <c r="F14" s="19"/>
      <c r="G14" s="25"/>
      <c r="H14" s="21"/>
      <c r="I14" s="22">
        <v>5</v>
      </c>
      <c r="J14" s="22">
        <f t="shared" si="1"/>
        <v>0</v>
      </c>
    </row>
    <row r="15" spans="1:10" ht="19.5">
      <c r="A15" s="9" t="s">
        <v>21</v>
      </c>
      <c r="B15" s="15">
        <v>500</v>
      </c>
      <c r="C15" s="13">
        <f t="shared" si="0"/>
        <v>500</v>
      </c>
      <c r="D15" s="10" t="s">
        <v>39</v>
      </c>
      <c r="E15" s="30" t="s">
        <v>41</v>
      </c>
      <c r="F15" s="18"/>
      <c r="G15" s="25"/>
      <c r="H15" s="21"/>
      <c r="I15" s="22">
        <v>3.7</v>
      </c>
      <c r="J15" s="22">
        <f t="shared" si="1"/>
        <v>0</v>
      </c>
    </row>
    <row r="16" spans="1:10" ht="19.5">
      <c r="A16" s="9" t="s">
        <v>22</v>
      </c>
      <c r="B16" s="15">
        <v>4000</v>
      </c>
      <c r="C16" s="13">
        <f t="shared" si="0"/>
        <v>4000</v>
      </c>
      <c r="D16" s="10" t="s">
        <v>35</v>
      </c>
      <c r="E16" s="30" t="s">
        <v>42</v>
      </c>
      <c r="F16" s="18"/>
      <c r="G16" s="25"/>
      <c r="H16" s="21"/>
      <c r="I16" s="22">
        <v>6</v>
      </c>
      <c r="J16" s="22">
        <f t="shared" si="1"/>
        <v>0</v>
      </c>
    </row>
    <row r="17" spans="1:10" ht="19.5">
      <c r="A17" s="9" t="s">
        <v>23</v>
      </c>
      <c r="B17" s="15">
        <v>4000</v>
      </c>
      <c r="C17" s="13">
        <f t="shared" si="0"/>
        <v>4000</v>
      </c>
      <c r="D17" s="10" t="s">
        <v>35</v>
      </c>
      <c r="E17" s="30" t="s">
        <v>43</v>
      </c>
      <c r="F17" s="18"/>
      <c r="G17" s="25"/>
      <c r="H17" s="21"/>
      <c r="I17" s="22">
        <v>6</v>
      </c>
      <c r="J17" s="22">
        <f t="shared" si="1"/>
        <v>0</v>
      </c>
    </row>
    <row r="18" spans="1:10" ht="19.5">
      <c r="A18" s="9" t="s">
        <v>24</v>
      </c>
      <c r="B18" s="15">
        <v>1000</v>
      </c>
      <c r="C18" s="13">
        <f t="shared" si="0"/>
        <v>1000</v>
      </c>
      <c r="D18" s="10" t="s">
        <v>44</v>
      </c>
      <c r="E18" s="30" t="s">
        <v>45</v>
      </c>
      <c r="F18" s="18"/>
      <c r="G18" s="25"/>
      <c r="H18" s="21"/>
      <c r="I18" s="22">
        <v>7</v>
      </c>
      <c r="J18" s="22">
        <f t="shared" si="1"/>
        <v>0</v>
      </c>
    </row>
    <row r="19" spans="1:10" ht="19.5">
      <c r="A19" s="9" t="s">
        <v>25</v>
      </c>
      <c r="B19" s="15">
        <v>500</v>
      </c>
      <c r="C19" s="13">
        <f t="shared" si="0"/>
        <v>500</v>
      </c>
      <c r="D19" s="10" t="s">
        <v>46</v>
      </c>
      <c r="E19" s="30" t="s">
        <v>47</v>
      </c>
      <c r="F19" s="18"/>
      <c r="G19" s="25">
        <v>8</v>
      </c>
      <c r="H19" s="21">
        <f t="shared" ref="H19:H37" si="2">F19*G19</f>
        <v>0</v>
      </c>
      <c r="I19" s="22"/>
      <c r="J19" s="22"/>
    </row>
    <row r="20" spans="1:10" ht="19.5">
      <c r="A20" s="9" t="s">
        <v>26</v>
      </c>
      <c r="B20" s="15">
        <v>4000</v>
      </c>
      <c r="C20" s="13">
        <f t="shared" si="0"/>
        <v>4000</v>
      </c>
      <c r="D20" s="10" t="s">
        <v>39</v>
      </c>
      <c r="E20" s="30" t="s">
        <v>48</v>
      </c>
      <c r="F20" s="18"/>
      <c r="G20" s="25">
        <v>20</v>
      </c>
      <c r="H20" s="21">
        <f t="shared" si="2"/>
        <v>0</v>
      </c>
      <c r="I20" s="22"/>
      <c r="J20" s="22"/>
    </row>
    <row r="21" spans="1:10" ht="19.5">
      <c r="A21" s="9" t="s">
        <v>28</v>
      </c>
      <c r="B21" s="15">
        <v>500</v>
      </c>
      <c r="C21" s="13">
        <f t="shared" si="0"/>
        <v>500</v>
      </c>
      <c r="D21" s="10" t="s">
        <v>35</v>
      </c>
      <c r="E21" s="30" t="s">
        <v>27</v>
      </c>
      <c r="F21" s="20"/>
      <c r="G21" s="25"/>
      <c r="H21" s="21"/>
      <c r="I21" s="22">
        <v>6.2</v>
      </c>
      <c r="J21" s="22">
        <f t="shared" si="1"/>
        <v>0</v>
      </c>
    </row>
    <row r="22" spans="1:10" ht="19.5">
      <c r="A22" s="9" t="s">
        <v>29</v>
      </c>
      <c r="B22" s="15">
        <v>2000</v>
      </c>
      <c r="C22" s="13">
        <f t="shared" si="0"/>
        <v>2000</v>
      </c>
      <c r="D22" s="10" t="s">
        <v>35</v>
      </c>
      <c r="E22" s="30" t="s">
        <v>49</v>
      </c>
      <c r="F22" s="20"/>
      <c r="G22" s="25"/>
      <c r="H22" s="21"/>
      <c r="I22" s="22">
        <v>2.5</v>
      </c>
      <c r="J22" s="22">
        <f t="shared" si="1"/>
        <v>0</v>
      </c>
    </row>
    <row r="23" spans="1:10" ht="19.5">
      <c r="A23" s="9" t="s">
        <v>30</v>
      </c>
      <c r="B23" s="15">
        <v>800</v>
      </c>
      <c r="C23" s="13">
        <f t="shared" si="0"/>
        <v>800</v>
      </c>
      <c r="D23" s="10" t="s">
        <v>39</v>
      </c>
      <c r="E23" s="30" t="s">
        <v>50</v>
      </c>
      <c r="F23" s="20"/>
      <c r="G23" s="25"/>
      <c r="H23" s="21"/>
      <c r="I23" s="22">
        <v>3.2</v>
      </c>
      <c r="J23" s="22">
        <f t="shared" si="1"/>
        <v>0</v>
      </c>
    </row>
    <row r="24" spans="1:10" ht="19.5">
      <c r="A24" s="9" t="s">
        <v>31</v>
      </c>
      <c r="B24" s="15">
        <v>2000</v>
      </c>
      <c r="C24" s="13">
        <f t="shared" si="0"/>
        <v>2000</v>
      </c>
      <c r="D24" s="10" t="s">
        <v>44</v>
      </c>
      <c r="E24" s="30" t="s">
        <v>51</v>
      </c>
      <c r="F24" s="19"/>
      <c r="G24" s="25"/>
      <c r="H24" s="21"/>
      <c r="I24" s="22">
        <v>3.8</v>
      </c>
      <c r="J24" s="22">
        <f t="shared" si="1"/>
        <v>0</v>
      </c>
    </row>
    <row r="25" spans="1:10" ht="19.5">
      <c r="A25" s="9" t="s">
        <v>32</v>
      </c>
      <c r="B25" s="15">
        <v>2000</v>
      </c>
      <c r="C25" s="13">
        <f t="shared" si="0"/>
        <v>2000</v>
      </c>
      <c r="D25" s="10" t="s">
        <v>44</v>
      </c>
      <c r="E25" s="30" t="s">
        <v>52</v>
      </c>
      <c r="F25" s="18"/>
      <c r="G25" s="25"/>
      <c r="H25" s="21"/>
      <c r="I25" s="22">
        <v>7</v>
      </c>
      <c r="J25" s="22">
        <f t="shared" si="1"/>
        <v>0</v>
      </c>
    </row>
    <row r="26" spans="1:10" ht="19.5">
      <c r="A26" s="9" t="s">
        <v>126</v>
      </c>
      <c r="B26" s="15">
        <v>2000</v>
      </c>
      <c r="C26" s="13">
        <f t="shared" si="0"/>
        <v>2000</v>
      </c>
      <c r="D26" s="10" t="s">
        <v>44</v>
      </c>
      <c r="E26" s="30" t="s">
        <v>53</v>
      </c>
      <c r="F26" s="17"/>
      <c r="G26" s="21"/>
      <c r="H26" s="21"/>
      <c r="I26" s="22">
        <v>7</v>
      </c>
      <c r="J26" s="22">
        <f t="shared" si="1"/>
        <v>0</v>
      </c>
    </row>
    <row r="27" spans="1:10" ht="19.5">
      <c r="A27" s="9" t="s">
        <v>127</v>
      </c>
      <c r="B27" s="15">
        <v>4000</v>
      </c>
      <c r="C27" s="13">
        <f t="shared" si="0"/>
        <v>4000</v>
      </c>
      <c r="D27" s="10" t="s">
        <v>54</v>
      </c>
      <c r="E27" s="30" t="s">
        <v>55</v>
      </c>
      <c r="F27" s="18"/>
      <c r="G27" s="25">
        <v>10</v>
      </c>
      <c r="H27" s="21">
        <f t="shared" si="2"/>
        <v>0</v>
      </c>
      <c r="I27" s="22"/>
      <c r="J27" s="22"/>
    </row>
    <row r="28" spans="1:10" ht="19.5">
      <c r="A28" s="9" t="s">
        <v>128</v>
      </c>
      <c r="B28" s="15">
        <v>4000</v>
      </c>
      <c r="C28" s="13">
        <f t="shared" si="0"/>
        <v>4000</v>
      </c>
      <c r="D28" s="10" t="s">
        <v>39</v>
      </c>
      <c r="E28" s="30" t="s">
        <v>56</v>
      </c>
      <c r="F28" s="18"/>
      <c r="G28" s="25">
        <v>30</v>
      </c>
      <c r="H28" s="21">
        <f t="shared" si="2"/>
        <v>0</v>
      </c>
      <c r="I28" s="22"/>
      <c r="J28" s="22"/>
    </row>
    <row r="29" spans="1:10" ht="19.5">
      <c r="A29" s="9" t="s">
        <v>129</v>
      </c>
      <c r="B29" s="15">
        <v>4000</v>
      </c>
      <c r="C29" s="13">
        <f t="shared" si="0"/>
        <v>4000</v>
      </c>
      <c r="D29" s="10" t="s">
        <v>39</v>
      </c>
      <c r="E29" s="30" t="s">
        <v>57</v>
      </c>
      <c r="F29" s="18"/>
      <c r="G29" s="25">
        <v>15</v>
      </c>
      <c r="H29" s="21">
        <f t="shared" si="2"/>
        <v>0</v>
      </c>
      <c r="I29" s="22"/>
      <c r="J29" s="22"/>
    </row>
    <row r="30" spans="1:10" ht="19.5">
      <c r="A30" s="9" t="s">
        <v>130</v>
      </c>
      <c r="B30" s="15">
        <v>4000</v>
      </c>
      <c r="C30" s="13">
        <f t="shared" si="0"/>
        <v>4000</v>
      </c>
      <c r="D30" s="10" t="s">
        <v>39</v>
      </c>
      <c r="E30" s="30" t="s">
        <v>58</v>
      </c>
      <c r="F30" s="18"/>
      <c r="G30" s="25">
        <v>21</v>
      </c>
      <c r="H30" s="21">
        <f t="shared" si="2"/>
        <v>0</v>
      </c>
      <c r="I30" s="22"/>
      <c r="J30" s="22"/>
    </row>
    <row r="31" spans="1:10" ht="19.5">
      <c r="A31" s="9" t="s">
        <v>131</v>
      </c>
      <c r="B31" s="15">
        <v>4000</v>
      </c>
      <c r="C31" s="13">
        <f t="shared" si="0"/>
        <v>4000</v>
      </c>
      <c r="D31" s="10" t="s">
        <v>39</v>
      </c>
      <c r="E31" s="30" t="s">
        <v>59</v>
      </c>
      <c r="F31" s="19"/>
      <c r="G31" s="25">
        <v>30</v>
      </c>
      <c r="H31" s="21">
        <f t="shared" si="2"/>
        <v>0</v>
      </c>
      <c r="I31" s="22"/>
      <c r="J31" s="22"/>
    </row>
    <row r="32" spans="1:10" ht="19.5">
      <c r="A32" s="9" t="s">
        <v>132</v>
      </c>
      <c r="B32" s="15">
        <v>120</v>
      </c>
      <c r="C32" s="13">
        <f t="shared" si="0"/>
        <v>120</v>
      </c>
      <c r="D32" s="10" t="s">
        <v>15</v>
      </c>
      <c r="E32" s="30" t="s">
        <v>195</v>
      </c>
      <c r="F32" s="19"/>
      <c r="G32" s="25">
        <v>25</v>
      </c>
      <c r="H32" s="21">
        <f t="shared" si="2"/>
        <v>0</v>
      </c>
      <c r="I32" s="22"/>
      <c r="J32" s="22"/>
    </row>
    <row r="33" spans="1:10" ht="19.5">
      <c r="A33" s="9" t="s">
        <v>133</v>
      </c>
      <c r="B33" s="15">
        <v>120</v>
      </c>
      <c r="C33" s="13">
        <f t="shared" si="0"/>
        <v>120</v>
      </c>
      <c r="D33" s="10" t="s">
        <v>15</v>
      </c>
      <c r="E33" s="30" t="s">
        <v>196</v>
      </c>
      <c r="F33" s="19"/>
      <c r="G33" s="25">
        <v>30</v>
      </c>
      <c r="H33" s="21">
        <f t="shared" si="2"/>
        <v>0</v>
      </c>
      <c r="I33" s="22"/>
      <c r="J33" s="22"/>
    </row>
    <row r="34" spans="1:10" ht="19.5">
      <c r="A34" s="9" t="s">
        <v>134</v>
      </c>
      <c r="B34" s="15">
        <v>400</v>
      </c>
      <c r="C34" s="13">
        <f t="shared" si="0"/>
        <v>400</v>
      </c>
      <c r="D34" s="10" t="s">
        <v>15</v>
      </c>
      <c r="E34" s="30" t="s">
        <v>197</v>
      </c>
      <c r="F34" s="19"/>
      <c r="G34" s="25">
        <v>30</v>
      </c>
      <c r="H34" s="21">
        <f t="shared" si="2"/>
        <v>0</v>
      </c>
      <c r="I34" s="22"/>
      <c r="J34" s="22"/>
    </row>
    <row r="35" spans="1:10" ht="19.5">
      <c r="A35" s="9" t="s">
        <v>135</v>
      </c>
      <c r="B35" s="15">
        <v>120</v>
      </c>
      <c r="C35" s="13">
        <f t="shared" si="0"/>
        <v>120</v>
      </c>
      <c r="D35" s="10" t="s">
        <v>15</v>
      </c>
      <c r="E35" s="30" t="s">
        <v>210</v>
      </c>
      <c r="F35" s="19"/>
      <c r="G35" s="25">
        <v>10</v>
      </c>
      <c r="H35" s="21">
        <f t="shared" si="2"/>
        <v>0</v>
      </c>
      <c r="I35" s="22"/>
      <c r="J35" s="22"/>
    </row>
    <row r="36" spans="1:10" ht="19.5">
      <c r="A36" s="9" t="s">
        <v>136</v>
      </c>
      <c r="B36" s="15">
        <v>4000</v>
      </c>
      <c r="C36" s="13">
        <f t="shared" si="0"/>
        <v>4000</v>
      </c>
      <c r="D36" s="10" t="s">
        <v>39</v>
      </c>
      <c r="E36" s="30" t="s">
        <v>60</v>
      </c>
      <c r="F36" s="18"/>
      <c r="G36" s="25">
        <v>13</v>
      </c>
      <c r="H36" s="21">
        <f t="shared" si="2"/>
        <v>0</v>
      </c>
      <c r="I36" s="22"/>
      <c r="J36" s="22"/>
    </row>
    <row r="37" spans="1:10" ht="19.5">
      <c r="A37" s="9" t="s">
        <v>137</v>
      </c>
      <c r="B37" s="15">
        <v>3000</v>
      </c>
      <c r="C37" s="13">
        <f t="shared" si="0"/>
        <v>3000</v>
      </c>
      <c r="D37" s="10" t="s">
        <v>54</v>
      </c>
      <c r="E37" s="30" t="s">
        <v>61</v>
      </c>
      <c r="F37" s="18"/>
      <c r="G37" s="25">
        <v>28</v>
      </c>
      <c r="H37" s="21">
        <f t="shared" si="2"/>
        <v>0</v>
      </c>
      <c r="I37" s="22"/>
      <c r="J37" s="22"/>
    </row>
    <row r="38" spans="1:10" ht="19.5">
      <c r="A38" s="9" t="s">
        <v>138</v>
      </c>
      <c r="B38" s="15">
        <v>2000</v>
      </c>
      <c r="C38" s="13">
        <f t="shared" si="0"/>
        <v>2000</v>
      </c>
      <c r="D38" s="10" t="s">
        <v>39</v>
      </c>
      <c r="E38" s="30" t="s">
        <v>62</v>
      </c>
      <c r="F38" s="18"/>
      <c r="G38" s="25"/>
      <c r="H38" s="21"/>
      <c r="I38" s="22">
        <v>21</v>
      </c>
      <c r="J38" s="22">
        <f t="shared" ref="J38:J55" si="3">F38*I38</f>
        <v>0</v>
      </c>
    </row>
    <row r="39" spans="1:10" ht="19.5">
      <c r="A39" s="9" t="s">
        <v>139</v>
      </c>
      <c r="B39" s="15">
        <v>400</v>
      </c>
      <c r="C39" s="13">
        <f t="shared" si="0"/>
        <v>400</v>
      </c>
      <c r="D39" s="10" t="s">
        <v>63</v>
      </c>
      <c r="E39" s="30" t="s">
        <v>64</v>
      </c>
      <c r="F39" s="18"/>
      <c r="G39" s="25"/>
      <c r="H39" s="21"/>
      <c r="I39" s="22">
        <v>3</v>
      </c>
      <c r="J39" s="22">
        <f t="shared" si="3"/>
        <v>0</v>
      </c>
    </row>
    <row r="40" spans="1:10" ht="19.5">
      <c r="A40" s="9" t="s">
        <v>140</v>
      </c>
      <c r="B40" s="15">
        <v>400</v>
      </c>
      <c r="C40" s="13">
        <f t="shared" si="0"/>
        <v>400</v>
      </c>
      <c r="D40" s="10" t="s">
        <v>63</v>
      </c>
      <c r="E40" s="30" t="s">
        <v>65</v>
      </c>
      <c r="F40" s="18"/>
      <c r="G40" s="25"/>
      <c r="H40" s="21"/>
      <c r="I40" s="22">
        <v>9</v>
      </c>
      <c r="J40" s="22">
        <f t="shared" si="3"/>
        <v>0</v>
      </c>
    </row>
    <row r="41" spans="1:10" ht="19.5">
      <c r="A41" s="9" t="s">
        <v>142</v>
      </c>
      <c r="B41" s="15">
        <v>4000</v>
      </c>
      <c r="C41" s="13">
        <f t="shared" si="0"/>
        <v>4000</v>
      </c>
      <c r="D41" s="10" t="s">
        <v>199</v>
      </c>
      <c r="E41" s="30" t="s">
        <v>200</v>
      </c>
      <c r="F41" s="18"/>
      <c r="G41" s="25"/>
      <c r="H41" s="21"/>
      <c r="I41" s="22">
        <v>6.99</v>
      </c>
      <c r="J41" s="22">
        <f t="shared" si="3"/>
        <v>0</v>
      </c>
    </row>
    <row r="42" spans="1:10" ht="31.5">
      <c r="A42" s="9" t="s">
        <v>198</v>
      </c>
      <c r="B42" s="15">
        <v>0</v>
      </c>
      <c r="C42" s="13">
        <f t="shared" si="0"/>
        <v>0</v>
      </c>
      <c r="D42" s="10" t="s">
        <v>39</v>
      </c>
      <c r="E42" s="11" t="s">
        <v>66</v>
      </c>
      <c r="F42" s="18"/>
      <c r="G42" s="25"/>
      <c r="H42" s="21"/>
      <c r="I42" s="22"/>
      <c r="J42" s="22"/>
    </row>
    <row r="43" spans="1:10" ht="19.5">
      <c r="A43" s="9" t="s">
        <v>143</v>
      </c>
      <c r="B43" s="15">
        <v>400</v>
      </c>
      <c r="C43" s="13">
        <f t="shared" si="0"/>
        <v>400</v>
      </c>
      <c r="D43" s="10" t="s">
        <v>63</v>
      </c>
      <c r="E43" s="30" t="s">
        <v>67</v>
      </c>
      <c r="F43" s="20"/>
      <c r="G43" s="25"/>
      <c r="H43" s="21"/>
      <c r="I43" s="22">
        <v>2.8</v>
      </c>
      <c r="J43" s="22">
        <f t="shared" si="3"/>
        <v>0</v>
      </c>
    </row>
    <row r="44" spans="1:10" ht="19.5">
      <c r="A44" s="9" t="s">
        <v>144</v>
      </c>
      <c r="B44" s="15">
        <v>1000</v>
      </c>
      <c r="C44" s="13">
        <f t="shared" si="0"/>
        <v>1000</v>
      </c>
      <c r="D44" s="10" t="s">
        <v>39</v>
      </c>
      <c r="E44" s="30" t="s">
        <v>68</v>
      </c>
      <c r="F44" s="20"/>
      <c r="G44" s="25">
        <v>16</v>
      </c>
      <c r="H44" s="21">
        <f t="shared" ref="H44:H68" si="4">F44*G44</f>
        <v>0</v>
      </c>
      <c r="I44" s="22"/>
      <c r="J44" s="22"/>
    </row>
    <row r="45" spans="1:10" ht="19.5">
      <c r="A45" s="9" t="s">
        <v>145</v>
      </c>
      <c r="B45" s="15">
        <v>400</v>
      </c>
      <c r="C45" s="13">
        <f t="shared" si="0"/>
        <v>400</v>
      </c>
      <c r="D45" s="10" t="s">
        <v>63</v>
      </c>
      <c r="E45" s="30" t="s">
        <v>69</v>
      </c>
      <c r="F45" s="20"/>
      <c r="G45" s="25"/>
      <c r="H45" s="21"/>
      <c r="I45" s="22">
        <v>5</v>
      </c>
      <c r="J45" s="22">
        <f t="shared" si="3"/>
        <v>0</v>
      </c>
    </row>
    <row r="46" spans="1:10" ht="19.5">
      <c r="A46" s="9" t="s">
        <v>198</v>
      </c>
      <c r="B46" s="15">
        <v>0</v>
      </c>
      <c r="C46" s="13">
        <f t="shared" si="0"/>
        <v>0</v>
      </c>
      <c r="D46" s="10" t="s">
        <v>39</v>
      </c>
      <c r="E46" s="11" t="s">
        <v>70</v>
      </c>
      <c r="F46" s="19"/>
      <c r="G46" s="25"/>
      <c r="H46" s="21"/>
      <c r="I46" s="22"/>
      <c r="J46" s="22"/>
    </row>
    <row r="47" spans="1:10" ht="19.5">
      <c r="A47" s="9" t="s">
        <v>146</v>
      </c>
      <c r="B47" s="15">
        <v>1000</v>
      </c>
      <c r="C47" s="13">
        <f t="shared" si="0"/>
        <v>1000</v>
      </c>
      <c r="D47" s="10" t="s">
        <v>63</v>
      </c>
      <c r="E47" s="30" t="s">
        <v>71</v>
      </c>
      <c r="F47" s="18"/>
      <c r="G47" s="25"/>
      <c r="H47" s="21"/>
      <c r="I47" s="22">
        <v>5</v>
      </c>
      <c r="J47" s="22">
        <f t="shared" si="3"/>
        <v>0</v>
      </c>
    </row>
    <row r="48" spans="1:10" ht="19.5">
      <c r="A48" s="9" t="s">
        <v>198</v>
      </c>
      <c r="B48" s="15">
        <v>0</v>
      </c>
      <c r="C48" s="13">
        <f t="shared" si="0"/>
        <v>0</v>
      </c>
      <c r="D48" s="10" t="s">
        <v>39</v>
      </c>
      <c r="E48" s="11" t="s">
        <v>72</v>
      </c>
      <c r="F48" s="17"/>
      <c r="G48" s="21"/>
      <c r="H48" s="21"/>
      <c r="I48" s="22"/>
      <c r="J48" s="22"/>
    </row>
    <row r="49" spans="1:10" ht="19.5">
      <c r="A49" s="9" t="s">
        <v>147</v>
      </c>
      <c r="B49" s="15">
        <v>2000</v>
      </c>
      <c r="C49" s="13">
        <f t="shared" si="0"/>
        <v>2000</v>
      </c>
      <c r="D49" s="10" t="s">
        <v>63</v>
      </c>
      <c r="E49" s="30" t="s">
        <v>73</v>
      </c>
      <c r="F49" s="18"/>
      <c r="G49" s="25"/>
      <c r="H49" s="21"/>
      <c r="I49" s="22">
        <v>4.5</v>
      </c>
      <c r="J49" s="22">
        <f t="shared" si="3"/>
        <v>0</v>
      </c>
    </row>
    <row r="50" spans="1:10" ht="19.5">
      <c r="A50" s="9" t="s">
        <v>148</v>
      </c>
      <c r="B50" s="15">
        <v>2000</v>
      </c>
      <c r="C50" s="13">
        <f t="shared" si="0"/>
        <v>2000</v>
      </c>
      <c r="D50" s="10" t="s">
        <v>63</v>
      </c>
      <c r="E50" s="30" t="s">
        <v>74</v>
      </c>
      <c r="F50" s="18"/>
      <c r="G50" s="25"/>
      <c r="H50" s="21"/>
      <c r="I50" s="22">
        <v>5.4</v>
      </c>
      <c r="J50" s="22">
        <f t="shared" si="3"/>
        <v>0</v>
      </c>
    </row>
    <row r="51" spans="1:10" ht="19.5">
      <c r="A51" s="9" t="s">
        <v>149</v>
      </c>
      <c r="B51" s="15">
        <v>1000</v>
      </c>
      <c r="C51" s="13">
        <f t="shared" si="0"/>
        <v>1000</v>
      </c>
      <c r="D51" s="10" t="s">
        <v>39</v>
      </c>
      <c r="E51" s="30" t="s">
        <v>75</v>
      </c>
      <c r="F51" s="18"/>
      <c r="G51" s="25">
        <v>7</v>
      </c>
      <c r="H51" s="21">
        <f t="shared" si="4"/>
        <v>0</v>
      </c>
      <c r="I51" s="22"/>
      <c r="J51" s="22"/>
    </row>
    <row r="52" spans="1:10" ht="31.5">
      <c r="A52" s="9" t="s">
        <v>198</v>
      </c>
      <c r="B52" s="15">
        <v>0</v>
      </c>
      <c r="C52" s="13">
        <f t="shared" si="0"/>
        <v>0</v>
      </c>
      <c r="D52" s="10" t="s">
        <v>63</v>
      </c>
      <c r="E52" s="11" t="s">
        <v>76</v>
      </c>
      <c r="F52" s="18"/>
      <c r="G52" s="25"/>
      <c r="H52" s="21"/>
      <c r="I52" s="22"/>
      <c r="J52" s="22"/>
    </row>
    <row r="53" spans="1:10" ht="19.5">
      <c r="A53" s="9" t="s">
        <v>151</v>
      </c>
      <c r="B53" s="15">
        <v>500</v>
      </c>
      <c r="C53" s="13">
        <f t="shared" si="0"/>
        <v>500</v>
      </c>
      <c r="D53" s="10" t="s">
        <v>39</v>
      </c>
      <c r="E53" s="30" t="s">
        <v>77</v>
      </c>
      <c r="F53" s="19"/>
      <c r="G53" s="25"/>
      <c r="H53" s="21"/>
      <c r="I53" s="22">
        <v>12</v>
      </c>
      <c r="J53" s="22">
        <f t="shared" si="3"/>
        <v>0</v>
      </c>
    </row>
    <row r="54" spans="1:10" ht="19.5">
      <c r="A54" s="9" t="s">
        <v>152</v>
      </c>
      <c r="B54" s="15">
        <v>500</v>
      </c>
      <c r="C54" s="13">
        <f t="shared" si="0"/>
        <v>500</v>
      </c>
      <c r="D54" s="10" t="s">
        <v>63</v>
      </c>
      <c r="E54" s="30" t="s">
        <v>78</v>
      </c>
      <c r="F54" s="18"/>
      <c r="G54" s="25">
        <v>1.7</v>
      </c>
      <c r="H54" s="21">
        <f t="shared" si="4"/>
        <v>0</v>
      </c>
      <c r="I54" s="22"/>
      <c r="J54" s="22"/>
    </row>
    <row r="55" spans="1:10" ht="47.25">
      <c r="A55" s="9" t="s">
        <v>153</v>
      </c>
      <c r="B55" s="15">
        <v>500</v>
      </c>
      <c r="C55" s="13">
        <f t="shared" si="0"/>
        <v>500</v>
      </c>
      <c r="D55" s="10" t="s">
        <v>39</v>
      </c>
      <c r="E55" s="30" t="s">
        <v>79</v>
      </c>
      <c r="F55" s="18"/>
      <c r="G55" s="25"/>
      <c r="H55" s="21"/>
      <c r="I55" s="22">
        <v>3.6</v>
      </c>
      <c r="J55" s="22">
        <f t="shared" si="3"/>
        <v>0</v>
      </c>
    </row>
    <row r="56" spans="1:10" ht="19.5">
      <c r="A56" s="9" t="s">
        <v>154</v>
      </c>
      <c r="B56" s="15">
        <v>100</v>
      </c>
      <c r="C56" s="13">
        <f t="shared" si="0"/>
        <v>100</v>
      </c>
      <c r="D56" s="10" t="s">
        <v>63</v>
      </c>
      <c r="E56" s="30" t="s">
        <v>201</v>
      </c>
      <c r="F56" s="18"/>
      <c r="G56" s="25">
        <v>3.5</v>
      </c>
      <c r="H56" s="21">
        <f t="shared" si="4"/>
        <v>0</v>
      </c>
      <c r="I56" s="22"/>
      <c r="J56" s="22"/>
    </row>
    <row r="57" spans="1:10" ht="19.5">
      <c r="A57" s="9" t="s">
        <v>155</v>
      </c>
      <c r="B57" s="15">
        <v>100</v>
      </c>
      <c r="C57" s="13">
        <f t="shared" si="0"/>
        <v>100</v>
      </c>
      <c r="D57" s="10" t="s">
        <v>63</v>
      </c>
      <c r="E57" s="30" t="s">
        <v>202</v>
      </c>
      <c r="F57" s="18"/>
      <c r="G57" s="25">
        <v>3.5</v>
      </c>
      <c r="H57" s="21">
        <f t="shared" si="4"/>
        <v>0</v>
      </c>
      <c r="I57" s="22"/>
      <c r="J57" s="22"/>
    </row>
    <row r="58" spans="1:10" ht="19.5">
      <c r="A58" s="9" t="s">
        <v>156</v>
      </c>
      <c r="B58" s="15">
        <v>100</v>
      </c>
      <c r="C58" s="13">
        <f t="shared" si="0"/>
        <v>100</v>
      </c>
      <c r="D58" s="10" t="s">
        <v>63</v>
      </c>
      <c r="E58" s="30" t="s">
        <v>203</v>
      </c>
      <c r="F58" s="18"/>
      <c r="G58" s="25">
        <v>3.5</v>
      </c>
      <c r="H58" s="21">
        <f t="shared" si="4"/>
        <v>0</v>
      </c>
      <c r="I58" s="22"/>
      <c r="J58" s="22"/>
    </row>
    <row r="59" spans="1:10" ht="63">
      <c r="A59" s="9" t="s">
        <v>157</v>
      </c>
      <c r="B59" s="15">
        <v>200</v>
      </c>
      <c r="C59" s="13">
        <f t="shared" si="0"/>
        <v>200</v>
      </c>
      <c r="D59" s="10" t="s">
        <v>63</v>
      </c>
      <c r="E59" s="30" t="s">
        <v>80</v>
      </c>
      <c r="F59" s="18"/>
      <c r="G59" s="25">
        <v>3.4</v>
      </c>
      <c r="H59" s="21">
        <f t="shared" si="4"/>
        <v>0</v>
      </c>
      <c r="I59" s="22">
        <v>0</v>
      </c>
      <c r="J59" s="22">
        <f t="shared" ref="J59:J90" si="5">F59*I59</f>
        <v>0</v>
      </c>
    </row>
    <row r="60" spans="1:10" ht="19.5">
      <c r="A60" s="9" t="s">
        <v>158</v>
      </c>
      <c r="B60" s="15">
        <v>200</v>
      </c>
      <c r="C60" s="13">
        <f t="shared" si="0"/>
        <v>200</v>
      </c>
      <c r="D60" s="10" t="s">
        <v>15</v>
      </c>
      <c r="E60" s="30" t="s">
        <v>81</v>
      </c>
      <c r="F60" s="18"/>
      <c r="G60" s="25"/>
      <c r="H60" s="21"/>
      <c r="I60" s="22">
        <v>27</v>
      </c>
      <c r="J60" s="22">
        <f t="shared" si="5"/>
        <v>0</v>
      </c>
    </row>
    <row r="61" spans="1:10" ht="63">
      <c r="A61" s="9" t="s">
        <v>159</v>
      </c>
      <c r="B61" s="15">
        <v>400</v>
      </c>
      <c r="C61" s="13">
        <f t="shared" si="0"/>
        <v>400</v>
      </c>
      <c r="D61" s="10" t="s">
        <v>82</v>
      </c>
      <c r="E61" s="30" t="s">
        <v>83</v>
      </c>
      <c r="F61" s="18"/>
      <c r="G61" s="25"/>
      <c r="H61" s="21"/>
      <c r="I61" s="22">
        <v>35</v>
      </c>
      <c r="J61" s="22">
        <f t="shared" si="5"/>
        <v>0</v>
      </c>
    </row>
    <row r="62" spans="1:10" ht="63">
      <c r="A62" s="9" t="s">
        <v>160</v>
      </c>
      <c r="B62" s="15">
        <v>400</v>
      </c>
      <c r="C62" s="13">
        <f t="shared" si="0"/>
        <v>400</v>
      </c>
      <c r="D62" s="10" t="s">
        <v>82</v>
      </c>
      <c r="E62" s="30" t="s">
        <v>84</v>
      </c>
      <c r="F62" s="18"/>
      <c r="G62" s="25"/>
      <c r="H62" s="21"/>
      <c r="I62" s="22">
        <v>35</v>
      </c>
      <c r="J62" s="22">
        <f t="shared" si="5"/>
        <v>0</v>
      </c>
    </row>
    <row r="63" spans="1:10" ht="31.5">
      <c r="A63" s="9" t="s">
        <v>198</v>
      </c>
      <c r="B63" s="15">
        <v>0</v>
      </c>
      <c r="C63" s="13">
        <f t="shared" si="0"/>
        <v>0</v>
      </c>
      <c r="D63" s="10" t="s">
        <v>54</v>
      </c>
      <c r="E63" s="11" t="s">
        <v>85</v>
      </c>
      <c r="F63" s="20"/>
      <c r="G63" s="25"/>
      <c r="H63" s="21"/>
      <c r="I63" s="22"/>
      <c r="J63" s="22"/>
    </row>
    <row r="64" spans="1:10" ht="47.25">
      <c r="A64" s="9" t="s">
        <v>162</v>
      </c>
      <c r="B64" s="15">
        <v>100</v>
      </c>
      <c r="C64" s="13">
        <f t="shared" si="0"/>
        <v>100</v>
      </c>
      <c r="D64" s="10" t="s">
        <v>39</v>
      </c>
      <c r="E64" s="30" t="s">
        <v>86</v>
      </c>
      <c r="F64" s="20"/>
      <c r="G64" s="25"/>
      <c r="H64" s="21"/>
      <c r="I64" s="22">
        <v>4.5</v>
      </c>
      <c r="J64" s="22">
        <f t="shared" si="5"/>
        <v>0</v>
      </c>
    </row>
    <row r="65" spans="1:10" ht="19.5">
      <c r="A65" s="9" t="s">
        <v>163</v>
      </c>
      <c r="B65" s="15">
        <v>100</v>
      </c>
      <c r="C65" s="13">
        <f t="shared" si="0"/>
        <v>100</v>
      </c>
      <c r="D65" s="10" t="s">
        <v>39</v>
      </c>
      <c r="E65" s="30" t="s">
        <v>87</v>
      </c>
      <c r="F65" s="20"/>
      <c r="G65" s="25">
        <v>12.75</v>
      </c>
      <c r="H65" s="21">
        <f t="shared" si="4"/>
        <v>0</v>
      </c>
      <c r="I65" s="22"/>
      <c r="J65" s="22"/>
    </row>
    <row r="66" spans="1:10" ht="19.5">
      <c r="A66" s="9" t="s">
        <v>164</v>
      </c>
      <c r="B66" s="15">
        <v>50</v>
      </c>
      <c r="C66" s="13">
        <f t="shared" si="0"/>
        <v>50</v>
      </c>
      <c r="D66" s="10" t="s">
        <v>15</v>
      </c>
      <c r="E66" s="30" t="s">
        <v>88</v>
      </c>
      <c r="F66" s="19"/>
      <c r="G66" s="25">
        <v>3.28</v>
      </c>
      <c r="H66" s="21">
        <f t="shared" si="4"/>
        <v>0</v>
      </c>
      <c r="I66" s="22"/>
      <c r="J66" s="22"/>
    </row>
    <row r="67" spans="1:10" ht="47.25">
      <c r="A67" s="9" t="s">
        <v>198</v>
      </c>
      <c r="B67" s="15">
        <v>0</v>
      </c>
      <c r="C67" s="13">
        <f t="shared" si="0"/>
        <v>0</v>
      </c>
      <c r="D67" s="10" t="s">
        <v>89</v>
      </c>
      <c r="E67" s="11" t="s">
        <v>90</v>
      </c>
      <c r="F67" s="18"/>
      <c r="G67" s="25"/>
      <c r="H67" s="21"/>
      <c r="I67" s="22"/>
      <c r="J67" s="22"/>
    </row>
    <row r="68" spans="1:10" ht="31.5">
      <c r="A68" s="9" t="s">
        <v>165</v>
      </c>
      <c r="B68" s="15">
        <v>80</v>
      </c>
      <c r="C68" s="13">
        <f t="shared" si="0"/>
        <v>80</v>
      </c>
      <c r="D68" s="10" t="s">
        <v>63</v>
      </c>
      <c r="E68" s="31" t="s">
        <v>91</v>
      </c>
      <c r="F68" s="17"/>
      <c r="G68" s="21">
        <v>5.5</v>
      </c>
      <c r="H68" s="21">
        <f t="shared" si="4"/>
        <v>0</v>
      </c>
      <c r="I68" s="22"/>
      <c r="J68" s="22">
        <f t="shared" si="5"/>
        <v>0</v>
      </c>
    </row>
    <row r="69" spans="1:10" ht="31.5">
      <c r="A69" s="9" t="s">
        <v>166</v>
      </c>
      <c r="B69" s="15">
        <v>500</v>
      </c>
      <c r="C69" s="13">
        <f t="shared" si="0"/>
        <v>500</v>
      </c>
      <c r="D69" s="10" t="s">
        <v>63</v>
      </c>
      <c r="E69" s="30" t="s">
        <v>92</v>
      </c>
      <c r="F69" s="18"/>
      <c r="G69" s="25"/>
      <c r="H69" s="21"/>
      <c r="I69" s="22">
        <v>3.2</v>
      </c>
      <c r="J69" s="22">
        <f t="shared" si="5"/>
        <v>0</v>
      </c>
    </row>
    <row r="70" spans="1:10" ht="31.5">
      <c r="A70" s="9" t="s">
        <v>167</v>
      </c>
      <c r="B70" s="15">
        <v>500</v>
      </c>
      <c r="C70" s="13">
        <f t="shared" si="0"/>
        <v>500</v>
      </c>
      <c r="D70" s="10" t="s">
        <v>63</v>
      </c>
      <c r="E70" s="30" t="s">
        <v>93</v>
      </c>
      <c r="F70" s="18"/>
      <c r="G70" s="25"/>
      <c r="H70" s="21"/>
      <c r="I70" s="22">
        <v>4.9000000000000004</v>
      </c>
      <c r="J70" s="22">
        <f t="shared" si="5"/>
        <v>0</v>
      </c>
    </row>
    <row r="71" spans="1:10" ht="31.5">
      <c r="A71" s="9" t="s">
        <v>168</v>
      </c>
      <c r="B71" s="15">
        <v>50</v>
      </c>
      <c r="C71" s="13">
        <f t="shared" si="0"/>
        <v>50</v>
      </c>
      <c r="D71" s="10" t="s">
        <v>63</v>
      </c>
      <c r="E71" s="31" t="s">
        <v>94</v>
      </c>
      <c r="F71" s="18"/>
      <c r="G71" s="25"/>
      <c r="H71" s="21"/>
      <c r="I71" s="22">
        <v>11</v>
      </c>
      <c r="J71" s="22">
        <f t="shared" si="5"/>
        <v>0</v>
      </c>
    </row>
    <row r="72" spans="1:10" ht="31.5">
      <c r="A72" s="9" t="s">
        <v>169</v>
      </c>
      <c r="B72" s="15">
        <v>600</v>
      </c>
      <c r="C72" s="13">
        <f t="shared" si="0"/>
        <v>600</v>
      </c>
      <c r="D72" s="10" t="s">
        <v>63</v>
      </c>
      <c r="E72" s="30" t="s">
        <v>95</v>
      </c>
      <c r="F72" s="18"/>
      <c r="G72" s="25"/>
      <c r="H72" s="21"/>
      <c r="I72" s="22">
        <v>2.2999999999999998</v>
      </c>
      <c r="J72" s="22">
        <f t="shared" si="5"/>
        <v>0</v>
      </c>
    </row>
    <row r="73" spans="1:10" ht="31.5">
      <c r="A73" s="9" t="s">
        <v>170</v>
      </c>
      <c r="B73" s="15">
        <v>200</v>
      </c>
      <c r="C73" s="13">
        <f t="shared" si="0"/>
        <v>200</v>
      </c>
      <c r="D73" s="10" t="s">
        <v>63</v>
      </c>
      <c r="E73" s="30" t="s">
        <v>96</v>
      </c>
      <c r="F73" s="19"/>
      <c r="G73" s="25"/>
      <c r="H73" s="21"/>
      <c r="I73" s="22">
        <v>3.5</v>
      </c>
      <c r="J73" s="22">
        <f t="shared" si="5"/>
        <v>0</v>
      </c>
    </row>
    <row r="74" spans="1:10" ht="31.5">
      <c r="A74" s="9" t="s">
        <v>171</v>
      </c>
      <c r="B74" s="15">
        <v>200</v>
      </c>
      <c r="C74" s="13">
        <f t="shared" ref="C74:C99" si="6">B74-F74</f>
        <v>200</v>
      </c>
      <c r="D74" s="10" t="s">
        <v>63</v>
      </c>
      <c r="E74" s="30" t="s">
        <v>97</v>
      </c>
      <c r="F74" s="18"/>
      <c r="G74" s="25"/>
      <c r="H74" s="21"/>
      <c r="I74" s="22">
        <v>4.5</v>
      </c>
      <c r="J74" s="22">
        <f t="shared" si="5"/>
        <v>0</v>
      </c>
    </row>
    <row r="75" spans="1:10" ht="31.5">
      <c r="A75" s="9" t="s">
        <v>172</v>
      </c>
      <c r="B75" s="15">
        <v>200</v>
      </c>
      <c r="C75" s="13">
        <f t="shared" si="6"/>
        <v>200</v>
      </c>
      <c r="D75" s="10" t="s">
        <v>63</v>
      </c>
      <c r="E75" s="30" t="s">
        <v>98</v>
      </c>
      <c r="F75" s="18"/>
      <c r="G75" s="25"/>
      <c r="H75" s="21"/>
      <c r="I75" s="22">
        <v>4.5</v>
      </c>
      <c r="J75" s="22">
        <f t="shared" si="5"/>
        <v>0</v>
      </c>
    </row>
    <row r="76" spans="1:10" ht="31.5">
      <c r="A76" s="9" t="s">
        <v>173</v>
      </c>
      <c r="B76" s="15">
        <v>200</v>
      </c>
      <c r="C76" s="13">
        <f t="shared" si="6"/>
        <v>200</v>
      </c>
      <c r="D76" s="10" t="s">
        <v>63</v>
      </c>
      <c r="E76" s="30" t="s">
        <v>99</v>
      </c>
      <c r="F76" s="18"/>
      <c r="G76" s="25"/>
      <c r="H76" s="21"/>
      <c r="I76" s="22">
        <v>4.5</v>
      </c>
      <c r="J76" s="22">
        <f t="shared" si="5"/>
        <v>0</v>
      </c>
    </row>
    <row r="77" spans="1:10" ht="31.5">
      <c r="A77" s="9" t="s">
        <v>174</v>
      </c>
      <c r="B77" s="15">
        <v>200</v>
      </c>
      <c r="C77" s="13">
        <f t="shared" si="6"/>
        <v>200</v>
      </c>
      <c r="D77" s="10" t="s">
        <v>63</v>
      </c>
      <c r="E77" s="30" t="s">
        <v>100</v>
      </c>
      <c r="F77" s="18"/>
      <c r="G77" s="25"/>
      <c r="H77" s="21"/>
      <c r="I77" s="22">
        <v>4</v>
      </c>
      <c r="J77" s="22">
        <f t="shared" si="5"/>
        <v>0</v>
      </c>
    </row>
    <row r="78" spans="1:10" ht="19.5">
      <c r="A78" s="9" t="s">
        <v>175</v>
      </c>
      <c r="B78" s="15">
        <v>400</v>
      </c>
      <c r="C78" s="13">
        <f t="shared" si="6"/>
        <v>400</v>
      </c>
      <c r="D78" s="10" t="s">
        <v>44</v>
      </c>
      <c r="E78" s="30" t="s">
        <v>101</v>
      </c>
      <c r="F78" s="18"/>
      <c r="G78" s="25"/>
      <c r="H78" s="21"/>
      <c r="I78" s="22">
        <v>4</v>
      </c>
      <c r="J78" s="22">
        <f t="shared" si="5"/>
        <v>0</v>
      </c>
    </row>
    <row r="79" spans="1:10" ht="47.25">
      <c r="A79" s="9" t="s">
        <v>176</v>
      </c>
      <c r="B79" s="15">
        <v>100</v>
      </c>
      <c r="C79" s="13">
        <f t="shared" si="6"/>
        <v>100</v>
      </c>
      <c r="D79" s="10" t="s">
        <v>102</v>
      </c>
      <c r="E79" s="30" t="s">
        <v>103</v>
      </c>
      <c r="F79" s="18"/>
      <c r="G79" s="25"/>
      <c r="H79" s="21"/>
      <c r="I79" s="22">
        <v>20</v>
      </c>
      <c r="J79" s="22">
        <f t="shared" si="5"/>
        <v>0</v>
      </c>
    </row>
    <row r="80" spans="1:10" ht="19.5">
      <c r="A80" s="9" t="s">
        <v>177</v>
      </c>
      <c r="B80" s="15">
        <v>100</v>
      </c>
      <c r="C80" s="13">
        <f t="shared" si="6"/>
        <v>100</v>
      </c>
      <c r="D80" s="10" t="s">
        <v>102</v>
      </c>
      <c r="E80" s="30" t="s">
        <v>104</v>
      </c>
      <c r="F80" s="20"/>
      <c r="G80" s="25"/>
      <c r="H80" s="21"/>
      <c r="I80" s="22"/>
      <c r="J80" s="22"/>
    </row>
    <row r="81" spans="1:10" ht="19.5">
      <c r="A81" s="9" t="s">
        <v>178</v>
      </c>
      <c r="B81" s="15">
        <v>800</v>
      </c>
      <c r="C81" s="13">
        <f t="shared" si="6"/>
        <v>800</v>
      </c>
      <c r="D81" s="10" t="s">
        <v>63</v>
      </c>
      <c r="E81" s="30" t="s">
        <v>105</v>
      </c>
      <c r="F81" s="20"/>
      <c r="G81" s="25"/>
      <c r="H81" s="21"/>
      <c r="I81" s="22">
        <v>11.8</v>
      </c>
      <c r="J81" s="22">
        <f t="shared" si="5"/>
        <v>0</v>
      </c>
    </row>
    <row r="82" spans="1:10" ht="47.25">
      <c r="A82" s="9" t="s">
        <v>179</v>
      </c>
      <c r="B82" s="15">
        <v>100</v>
      </c>
      <c r="C82" s="13">
        <f t="shared" si="6"/>
        <v>100</v>
      </c>
      <c r="D82" s="10" t="s">
        <v>44</v>
      </c>
      <c r="E82" s="30" t="s">
        <v>106</v>
      </c>
      <c r="F82" s="20"/>
      <c r="G82" s="25"/>
      <c r="H82" s="21"/>
      <c r="I82" s="22">
        <v>15</v>
      </c>
      <c r="J82" s="22">
        <f t="shared" si="5"/>
        <v>0</v>
      </c>
    </row>
    <row r="83" spans="1:10" ht="63">
      <c r="A83" s="9" t="s">
        <v>180</v>
      </c>
      <c r="B83" s="15">
        <v>100</v>
      </c>
      <c r="C83" s="13">
        <f t="shared" si="6"/>
        <v>100</v>
      </c>
      <c r="D83" s="10" t="s">
        <v>44</v>
      </c>
      <c r="E83" s="30" t="s">
        <v>107</v>
      </c>
      <c r="F83" s="19"/>
      <c r="G83" s="25"/>
      <c r="H83" s="21"/>
      <c r="I83" s="22">
        <v>13</v>
      </c>
      <c r="J83" s="22">
        <f t="shared" si="5"/>
        <v>0</v>
      </c>
    </row>
    <row r="84" spans="1:10" ht="19.5">
      <c r="A84" s="9" t="s">
        <v>181</v>
      </c>
      <c r="B84" s="15">
        <v>100</v>
      </c>
      <c r="C84" s="13">
        <f t="shared" si="6"/>
        <v>100</v>
      </c>
      <c r="D84" s="10" t="s">
        <v>44</v>
      </c>
      <c r="E84" s="30" t="s">
        <v>108</v>
      </c>
      <c r="F84" s="18"/>
      <c r="G84" s="25">
        <v>5.5</v>
      </c>
      <c r="H84" s="21">
        <f t="shared" ref="H84:H86" si="7">F84*G84</f>
        <v>0</v>
      </c>
      <c r="I84" s="22"/>
      <c r="J84" s="22">
        <f t="shared" si="5"/>
        <v>0</v>
      </c>
    </row>
    <row r="85" spans="1:10" ht="19.5">
      <c r="A85" s="9" t="s">
        <v>182</v>
      </c>
      <c r="B85" s="15">
        <v>100</v>
      </c>
      <c r="C85" s="13">
        <f t="shared" si="6"/>
        <v>100</v>
      </c>
      <c r="D85" s="10" t="s">
        <v>44</v>
      </c>
      <c r="E85" s="30" t="s">
        <v>109</v>
      </c>
      <c r="F85" s="17"/>
      <c r="G85" s="21">
        <v>0</v>
      </c>
      <c r="H85" s="21">
        <f t="shared" si="7"/>
        <v>0</v>
      </c>
      <c r="I85" s="22">
        <v>20</v>
      </c>
      <c r="J85" s="22">
        <f t="shared" si="5"/>
        <v>0</v>
      </c>
    </row>
    <row r="86" spans="1:10" ht="19.5">
      <c r="A86" s="9" t="s">
        <v>183</v>
      </c>
      <c r="B86" s="15">
        <v>100</v>
      </c>
      <c r="C86" s="13">
        <f t="shared" si="6"/>
        <v>100</v>
      </c>
      <c r="D86" s="10" t="s">
        <v>44</v>
      </c>
      <c r="E86" s="30" t="s">
        <v>110</v>
      </c>
      <c r="F86" s="18"/>
      <c r="G86" s="25">
        <v>70</v>
      </c>
      <c r="H86" s="21">
        <f t="shared" si="7"/>
        <v>0</v>
      </c>
      <c r="I86" s="22"/>
      <c r="J86" s="22">
        <f t="shared" si="5"/>
        <v>0</v>
      </c>
    </row>
    <row r="87" spans="1:10" ht="19.5">
      <c r="A87" s="9" t="s">
        <v>184</v>
      </c>
      <c r="B87" s="15">
        <v>400</v>
      </c>
      <c r="C87" s="13">
        <f t="shared" si="6"/>
        <v>400</v>
      </c>
      <c r="D87" s="10" t="s">
        <v>44</v>
      </c>
      <c r="E87" s="30" t="s">
        <v>111</v>
      </c>
      <c r="F87" s="18"/>
      <c r="G87" s="25"/>
      <c r="H87" s="21"/>
      <c r="I87" s="22">
        <v>3.6</v>
      </c>
      <c r="J87" s="22">
        <f t="shared" si="5"/>
        <v>0</v>
      </c>
    </row>
    <row r="88" spans="1:10" ht="19.5">
      <c r="A88" s="9" t="s">
        <v>185</v>
      </c>
      <c r="B88" s="15">
        <v>500</v>
      </c>
      <c r="C88" s="13">
        <f t="shared" si="6"/>
        <v>500</v>
      </c>
      <c r="D88" s="10" t="s">
        <v>39</v>
      </c>
      <c r="E88" s="30" t="s">
        <v>112</v>
      </c>
      <c r="F88" s="18"/>
      <c r="G88" s="25"/>
      <c r="H88" s="21"/>
      <c r="I88" s="22">
        <v>6.5</v>
      </c>
      <c r="J88" s="22">
        <f t="shared" si="5"/>
        <v>0</v>
      </c>
    </row>
    <row r="89" spans="1:10" ht="19.5">
      <c r="A89" s="9" t="s">
        <v>186</v>
      </c>
      <c r="B89" s="15">
        <v>400</v>
      </c>
      <c r="C89" s="13">
        <f t="shared" si="6"/>
        <v>400</v>
      </c>
      <c r="D89" s="10" t="s">
        <v>102</v>
      </c>
      <c r="E89" s="30" t="s">
        <v>113</v>
      </c>
      <c r="F89" s="18"/>
      <c r="G89" s="25"/>
      <c r="H89" s="21"/>
      <c r="I89" s="22">
        <v>2</v>
      </c>
      <c r="J89" s="22">
        <f t="shared" si="5"/>
        <v>0</v>
      </c>
    </row>
    <row r="90" spans="1:10" ht="19.5">
      <c r="A90" s="9" t="s">
        <v>187</v>
      </c>
      <c r="B90" s="15">
        <v>400</v>
      </c>
      <c r="C90" s="13">
        <f t="shared" si="6"/>
        <v>400</v>
      </c>
      <c r="D90" s="10" t="s">
        <v>63</v>
      </c>
      <c r="E90" s="30" t="s">
        <v>114</v>
      </c>
      <c r="F90" s="19"/>
      <c r="G90" s="25"/>
      <c r="H90" s="21"/>
      <c r="I90" s="22">
        <v>9</v>
      </c>
      <c r="J90" s="22">
        <f t="shared" si="5"/>
        <v>0</v>
      </c>
    </row>
    <row r="91" spans="1:10" ht="19.5">
      <c r="A91" s="9" t="s">
        <v>188</v>
      </c>
      <c r="B91" s="16">
        <v>400</v>
      </c>
      <c r="C91" s="13">
        <f t="shared" si="6"/>
        <v>400</v>
      </c>
      <c r="D91" s="10" t="s">
        <v>44</v>
      </c>
      <c r="E91" s="30" t="s">
        <v>204</v>
      </c>
      <c r="F91" s="18"/>
      <c r="G91" s="25">
        <v>0.7</v>
      </c>
      <c r="H91" s="21"/>
      <c r="I91" s="22"/>
      <c r="J91" s="22"/>
    </row>
    <row r="92" spans="1:10" ht="19.5">
      <c r="A92" s="9" t="s">
        <v>189</v>
      </c>
      <c r="B92" s="15">
        <v>500</v>
      </c>
      <c r="C92" s="13">
        <f t="shared" si="6"/>
        <v>500</v>
      </c>
      <c r="D92" s="10" t="s">
        <v>63</v>
      </c>
      <c r="E92" s="30" t="s">
        <v>116</v>
      </c>
      <c r="F92" s="18"/>
      <c r="G92" s="25"/>
      <c r="H92" s="21"/>
      <c r="I92" s="22">
        <v>2.5</v>
      </c>
      <c r="J92" s="22">
        <f t="shared" ref="J92:J99" si="8">F92*I92</f>
        <v>0</v>
      </c>
    </row>
    <row r="93" spans="1:10" ht="19.5">
      <c r="A93" s="9" t="s">
        <v>190</v>
      </c>
      <c r="B93" s="15">
        <v>100</v>
      </c>
      <c r="C93" s="13">
        <f t="shared" si="6"/>
        <v>100</v>
      </c>
      <c r="D93" s="10" t="s">
        <v>63</v>
      </c>
      <c r="E93" s="30" t="s">
        <v>117</v>
      </c>
      <c r="F93" s="18"/>
      <c r="G93" s="25"/>
      <c r="H93" s="21"/>
      <c r="I93" s="22"/>
      <c r="J93" s="22"/>
    </row>
    <row r="94" spans="1:10" ht="19.5">
      <c r="A94" s="9" t="s">
        <v>191</v>
      </c>
      <c r="B94" s="15">
        <v>500</v>
      </c>
      <c r="C94" s="13">
        <f t="shared" si="6"/>
        <v>500</v>
      </c>
      <c r="D94" s="10" t="s">
        <v>44</v>
      </c>
      <c r="E94" s="30" t="s">
        <v>118</v>
      </c>
      <c r="F94" s="18"/>
      <c r="G94" s="25"/>
      <c r="H94" s="21"/>
      <c r="I94" s="22">
        <v>4</v>
      </c>
      <c r="J94" s="22">
        <f t="shared" si="8"/>
        <v>0</v>
      </c>
    </row>
    <row r="95" spans="1:10" ht="19.5">
      <c r="A95" s="9" t="s">
        <v>206</v>
      </c>
      <c r="B95" s="15">
        <v>100</v>
      </c>
      <c r="C95" s="13">
        <f t="shared" si="6"/>
        <v>100</v>
      </c>
      <c r="D95" s="10" t="s">
        <v>102</v>
      </c>
      <c r="E95" s="30" t="s">
        <v>119</v>
      </c>
      <c r="F95" s="18"/>
      <c r="G95" s="25">
        <v>3.9</v>
      </c>
      <c r="H95" s="21">
        <f t="shared" ref="H95:H99" si="9">F95*G95</f>
        <v>0</v>
      </c>
      <c r="I95" s="22"/>
      <c r="J95" s="22">
        <f t="shared" si="8"/>
        <v>0</v>
      </c>
    </row>
    <row r="96" spans="1:10" ht="31.5">
      <c r="A96" s="9" t="s">
        <v>207</v>
      </c>
      <c r="B96" s="16">
        <v>200</v>
      </c>
      <c r="C96" s="13">
        <f t="shared" si="6"/>
        <v>200</v>
      </c>
      <c r="D96" s="10" t="s">
        <v>120</v>
      </c>
      <c r="E96" s="30" t="s">
        <v>121</v>
      </c>
      <c r="F96" s="18"/>
      <c r="G96" s="25">
        <v>5.9</v>
      </c>
      <c r="H96" s="21">
        <f t="shared" si="9"/>
        <v>0</v>
      </c>
      <c r="I96" s="22"/>
      <c r="J96" s="22">
        <f t="shared" si="8"/>
        <v>0</v>
      </c>
    </row>
    <row r="97" spans="1:10" ht="19.5">
      <c r="A97" s="9" t="s">
        <v>208</v>
      </c>
      <c r="B97" s="15">
        <v>400</v>
      </c>
      <c r="C97" s="13">
        <f t="shared" si="6"/>
        <v>400</v>
      </c>
      <c r="D97" s="10" t="s">
        <v>44</v>
      </c>
      <c r="E97" s="30" t="s">
        <v>122</v>
      </c>
      <c r="F97" s="20"/>
      <c r="G97" s="25">
        <v>7</v>
      </c>
      <c r="H97" s="21">
        <f t="shared" si="9"/>
        <v>0</v>
      </c>
      <c r="I97" s="22"/>
      <c r="J97" s="22">
        <f t="shared" si="8"/>
        <v>0</v>
      </c>
    </row>
    <row r="98" spans="1:10" ht="19.5">
      <c r="A98" s="9" t="s">
        <v>205</v>
      </c>
      <c r="B98" s="15">
        <v>200</v>
      </c>
      <c r="C98" s="13">
        <f t="shared" si="6"/>
        <v>200</v>
      </c>
      <c r="D98" s="10" t="s">
        <v>44</v>
      </c>
      <c r="E98" s="30" t="s">
        <v>123</v>
      </c>
      <c r="F98" s="20"/>
      <c r="G98" s="25">
        <v>4</v>
      </c>
      <c r="H98" s="21">
        <f t="shared" si="9"/>
        <v>0</v>
      </c>
      <c r="I98" s="22"/>
      <c r="J98" s="22">
        <f t="shared" si="8"/>
        <v>0</v>
      </c>
    </row>
    <row r="99" spans="1:10" ht="19.5">
      <c r="A99" s="9" t="s">
        <v>209</v>
      </c>
      <c r="B99" s="15">
        <v>100</v>
      </c>
      <c r="C99" s="13">
        <f t="shared" si="6"/>
        <v>100</v>
      </c>
      <c r="D99" s="10" t="s">
        <v>44</v>
      </c>
      <c r="E99" s="30" t="s">
        <v>124</v>
      </c>
      <c r="F99" s="20"/>
      <c r="G99" s="25">
        <v>6.99</v>
      </c>
      <c r="H99" s="21">
        <f t="shared" si="9"/>
        <v>0</v>
      </c>
      <c r="I99" s="22"/>
      <c r="J99" s="22">
        <f t="shared" si="8"/>
        <v>0</v>
      </c>
    </row>
    <row r="100" spans="1:10" ht="19.5">
      <c r="A100" s="43">
        <v>0</v>
      </c>
      <c r="B100" s="43"/>
      <c r="C100" s="43"/>
      <c r="D100" s="43"/>
      <c r="E100" s="43"/>
      <c r="F100" s="44"/>
      <c r="G100" s="45">
        <f>SUM(H9:H99)</f>
        <v>0</v>
      </c>
      <c r="H100" s="46"/>
      <c r="I100" s="47">
        <f>SUM(J9:J99)</f>
        <v>0</v>
      </c>
      <c r="J100" s="48"/>
    </row>
  </sheetData>
  <mergeCells count="15">
    <mergeCell ref="A100:F100"/>
    <mergeCell ref="G100:H100"/>
    <mergeCell ref="I100:J100"/>
    <mergeCell ref="A2:J2"/>
    <mergeCell ref="A3:J3"/>
    <mergeCell ref="A4:J4"/>
    <mergeCell ref="A5:J5"/>
    <mergeCell ref="A7:A8"/>
    <mergeCell ref="B7:B8"/>
    <mergeCell ref="C7:C8"/>
    <mergeCell ref="D7:D8"/>
    <mergeCell ref="E7:E8"/>
    <mergeCell ref="F7:F8"/>
    <mergeCell ref="G7:H7"/>
    <mergeCell ref="I7:J7"/>
  </mergeCells>
  <conditionalFormatting sqref="C9:C99">
    <cfRule type="cellIs" dxfId="1" priority="1" operator="lessThan">
      <formula>1</formula>
    </cfRule>
  </conditionalFormatting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00"/>
  <sheetViews>
    <sheetView topLeftCell="A67" workbookViewId="0">
      <selection sqref="A1:XFD1048576"/>
    </sheetView>
  </sheetViews>
  <sheetFormatPr defaultRowHeight="15"/>
  <cols>
    <col min="2" max="2" width="12.7109375" customWidth="1"/>
    <col min="3" max="3" width="13.28515625" customWidth="1"/>
    <col min="5" max="5" width="52.42578125" customWidth="1"/>
    <col min="6" max="6" width="18.28515625" customWidth="1"/>
    <col min="7" max="7" width="8" bestFit="1" customWidth="1"/>
    <col min="8" max="8" width="10.140625" bestFit="1" customWidth="1"/>
    <col min="9" max="9" width="10.140625" customWidth="1"/>
    <col min="10" max="10" width="14.140625" customWidth="1"/>
  </cols>
  <sheetData>
    <row r="1" spans="1:10">
      <c r="A1" s="1"/>
      <c r="B1" s="2"/>
      <c r="C1" s="2"/>
      <c r="D1" s="1"/>
      <c r="E1" s="1"/>
      <c r="F1" s="1"/>
      <c r="G1" s="1"/>
      <c r="H1" s="1"/>
      <c r="I1" s="1"/>
      <c r="J1" s="1"/>
    </row>
    <row r="2" spans="1:10" ht="15" customHeight="1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ht="15" customHeight="1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</row>
    <row r="4" spans="1:10" ht="15" customHeight="1">
      <c r="A4" s="54" t="s">
        <v>2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ht="15" customHeight="1">
      <c r="A5" s="54" t="s">
        <v>125</v>
      </c>
      <c r="B5" s="54"/>
      <c r="C5" s="54"/>
      <c r="D5" s="54"/>
      <c r="E5" s="54"/>
      <c r="F5" s="54"/>
      <c r="G5" s="54"/>
      <c r="H5" s="54"/>
      <c r="I5" s="54"/>
      <c r="J5" s="54"/>
    </row>
    <row r="6" spans="1:10" ht="18.75">
      <c r="A6" s="32"/>
      <c r="B6" s="32"/>
      <c r="C6" s="32"/>
      <c r="D6" s="32"/>
      <c r="E6" s="32"/>
      <c r="F6" s="32"/>
      <c r="G6" s="32"/>
      <c r="H6" s="32"/>
      <c r="I6" s="4"/>
      <c r="J6" s="4"/>
    </row>
    <row r="7" spans="1:10" ht="19.5" customHeight="1">
      <c r="A7" s="64" t="s">
        <v>3</v>
      </c>
      <c r="B7" s="64" t="s">
        <v>4</v>
      </c>
      <c r="C7" s="57" t="s">
        <v>5</v>
      </c>
      <c r="D7" s="64" t="s">
        <v>6</v>
      </c>
      <c r="E7" s="64" t="s">
        <v>7</v>
      </c>
      <c r="F7" s="59" t="s">
        <v>8</v>
      </c>
      <c r="G7" s="67" t="s">
        <v>193</v>
      </c>
      <c r="H7" s="68"/>
      <c r="I7" s="69" t="s">
        <v>194</v>
      </c>
      <c r="J7" s="70"/>
    </row>
    <row r="8" spans="1:10" ht="19.5">
      <c r="A8" s="65"/>
      <c r="B8" s="65"/>
      <c r="C8" s="58"/>
      <c r="D8" s="65"/>
      <c r="E8" s="65"/>
      <c r="F8" s="66"/>
      <c r="G8" s="5" t="s">
        <v>12</v>
      </c>
      <c r="H8" s="5" t="s">
        <v>13</v>
      </c>
      <c r="I8" s="6" t="s">
        <v>12</v>
      </c>
      <c r="J8" s="6" t="s">
        <v>13</v>
      </c>
    </row>
    <row r="9" spans="1:10" ht="19.5">
      <c r="A9" s="9" t="s">
        <v>14</v>
      </c>
      <c r="B9" s="15">
        <v>20000</v>
      </c>
      <c r="C9" s="13">
        <f>B9-F9</f>
        <v>20000</v>
      </c>
      <c r="D9" s="10" t="s">
        <v>15</v>
      </c>
      <c r="E9" s="30" t="s">
        <v>33</v>
      </c>
      <c r="F9" s="17"/>
      <c r="G9" s="21"/>
      <c r="H9" s="21"/>
      <c r="I9" s="22">
        <v>4.3</v>
      </c>
      <c r="J9" s="22">
        <f>F9*I9</f>
        <v>0</v>
      </c>
    </row>
    <row r="10" spans="1:10" ht="19.5">
      <c r="A10" s="9" t="s">
        <v>16</v>
      </c>
      <c r="B10" s="15">
        <v>2000</v>
      </c>
      <c r="C10" s="13">
        <f t="shared" ref="C10:C73" si="0">B10-F10</f>
        <v>2000</v>
      </c>
      <c r="D10" s="10" t="s">
        <v>15</v>
      </c>
      <c r="E10" s="30" t="s">
        <v>34</v>
      </c>
      <c r="F10" s="18"/>
      <c r="G10" s="25"/>
      <c r="H10" s="21"/>
      <c r="I10" s="22">
        <v>8.18</v>
      </c>
      <c r="J10" s="22">
        <f t="shared" ref="J10:J26" si="1">F10*I10</f>
        <v>0</v>
      </c>
    </row>
    <row r="11" spans="1:10" ht="31.5">
      <c r="A11" s="9" t="s">
        <v>17</v>
      </c>
      <c r="B11" s="15">
        <v>2000</v>
      </c>
      <c r="C11" s="13">
        <f t="shared" si="0"/>
        <v>2000</v>
      </c>
      <c r="D11" s="10" t="s">
        <v>35</v>
      </c>
      <c r="E11" s="30" t="s">
        <v>36</v>
      </c>
      <c r="F11" s="18"/>
      <c r="G11" s="25"/>
      <c r="H11" s="21"/>
      <c r="I11" s="22">
        <v>3.2</v>
      </c>
      <c r="J11" s="22">
        <f t="shared" si="1"/>
        <v>0</v>
      </c>
    </row>
    <row r="12" spans="1:10" ht="19.5">
      <c r="A12" s="9" t="s">
        <v>18</v>
      </c>
      <c r="B12" s="15">
        <v>200</v>
      </c>
      <c r="C12" s="13">
        <f t="shared" si="0"/>
        <v>200</v>
      </c>
      <c r="D12" s="10" t="s">
        <v>15</v>
      </c>
      <c r="E12" s="30" t="s">
        <v>37</v>
      </c>
      <c r="F12" s="18"/>
      <c r="G12" s="25"/>
      <c r="H12" s="21"/>
      <c r="I12" s="22">
        <v>1.5</v>
      </c>
      <c r="J12" s="22">
        <f t="shared" si="1"/>
        <v>0</v>
      </c>
    </row>
    <row r="13" spans="1:10" ht="19.5">
      <c r="A13" s="9" t="s">
        <v>19</v>
      </c>
      <c r="B13" s="15">
        <v>2000</v>
      </c>
      <c r="C13" s="13">
        <f t="shared" si="0"/>
        <v>2000</v>
      </c>
      <c r="D13" s="10" t="s">
        <v>15</v>
      </c>
      <c r="E13" s="30" t="s">
        <v>38</v>
      </c>
      <c r="F13" s="18"/>
      <c r="G13" s="25"/>
      <c r="H13" s="21"/>
      <c r="I13" s="22">
        <v>4.5</v>
      </c>
      <c r="J13" s="22">
        <f t="shared" si="1"/>
        <v>0</v>
      </c>
    </row>
    <row r="14" spans="1:10" ht="31.5">
      <c r="A14" s="9" t="s">
        <v>20</v>
      </c>
      <c r="B14" s="15">
        <v>500</v>
      </c>
      <c r="C14" s="13">
        <f t="shared" si="0"/>
        <v>500</v>
      </c>
      <c r="D14" s="10" t="s">
        <v>39</v>
      </c>
      <c r="E14" s="30" t="s">
        <v>40</v>
      </c>
      <c r="F14" s="19"/>
      <c r="G14" s="25"/>
      <c r="H14" s="21"/>
      <c r="I14" s="22">
        <v>5</v>
      </c>
      <c r="J14" s="22">
        <f t="shared" si="1"/>
        <v>0</v>
      </c>
    </row>
    <row r="15" spans="1:10" ht="19.5">
      <c r="A15" s="9" t="s">
        <v>21</v>
      </c>
      <c r="B15" s="15">
        <v>500</v>
      </c>
      <c r="C15" s="13">
        <f t="shared" si="0"/>
        <v>500</v>
      </c>
      <c r="D15" s="10" t="s">
        <v>39</v>
      </c>
      <c r="E15" s="30" t="s">
        <v>41</v>
      </c>
      <c r="F15" s="18"/>
      <c r="G15" s="25"/>
      <c r="H15" s="21"/>
      <c r="I15" s="22">
        <v>3.7</v>
      </c>
      <c r="J15" s="22">
        <f t="shared" si="1"/>
        <v>0</v>
      </c>
    </row>
    <row r="16" spans="1:10" ht="19.5">
      <c r="A16" s="9" t="s">
        <v>22</v>
      </c>
      <c r="B16" s="15">
        <v>4000</v>
      </c>
      <c r="C16" s="13">
        <f t="shared" si="0"/>
        <v>4000</v>
      </c>
      <c r="D16" s="10" t="s">
        <v>35</v>
      </c>
      <c r="E16" s="30" t="s">
        <v>42</v>
      </c>
      <c r="F16" s="18"/>
      <c r="G16" s="25"/>
      <c r="H16" s="21"/>
      <c r="I16" s="22">
        <v>6</v>
      </c>
      <c r="J16" s="22">
        <f t="shared" si="1"/>
        <v>0</v>
      </c>
    </row>
    <row r="17" spans="1:10" ht="19.5">
      <c r="A17" s="9" t="s">
        <v>23</v>
      </c>
      <c r="B17" s="15">
        <v>4000</v>
      </c>
      <c r="C17" s="13">
        <f t="shared" si="0"/>
        <v>4000</v>
      </c>
      <c r="D17" s="10" t="s">
        <v>35</v>
      </c>
      <c r="E17" s="30" t="s">
        <v>43</v>
      </c>
      <c r="F17" s="18"/>
      <c r="G17" s="25"/>
      <c r="H17" s="21"/>
      <c r="I17" s="22">
        <v>6</v>
      </c>
      <c r="J17" s="22">
        <f t="shared" si="1"/>
        <v>0</v>
      </c>
    </row>
    <row r="18" spans="1:10" ht="19.5">
      <c r="A18" s="9" t="s">
        <v>24</v>
      </c>
      <c r="B18" s="15">
        <v>1000</v>
      </c>
      <c r="C18" s="13">
        <f t="shared" si="0"/>
        <v>1000</v>
      </c>
      <c r="D18" s="10" t="s">
        <v>44</v>
      </c>
      <c r="E18" s="30" t="s">
        <v>45</v>
      </c>
      <c r="F18" s="18"/>
      <c r="G18" s="25"/>
      <c r="H18" s="21"/>
      <c r="I18" s="22">
        <v>7</v>
      </c>
      <c r="J18" s="22">
        <f t="shared" si="1"/>
        <v>0</v>
      </c>
    </row>
    <row r="19" spans="1:10" ht="19.5">
      <c r="A19" s="9" t="s">
        <v>25</v>
      </c>
      <c r="B19" s="15">
        <v>500</v>
      </c>
      <c r="C19" s="13">
        <f t="shared" si="0"/>
        <v>500</v>
      </c>
      <c r="D19" s="10" t="s">
        <v>46</v>
      </c>
      <c r="E19" s="30" t="s">
        <v>47</v>
      </c>
      <c r="F19" s="18"/>
      <c r="G19" s="25">
        <v>8</v>
      </c>
      <c r="H19" s="21">
        <f t="shared" ref="H19:H37" si="2">F19*G19</f>
        <v>0</v>
      </c>
      <c r="I19" s="22"/>
      <c r="J19" s="22"/>
    </row>
    <row r="20" spans="1:10" ht="19.5">
      <c r="A20" s="9" t="s">
        <v>26</v>
      </c>
      <c r="B20" s="15">
        <v>4000</v>
      </c>
      <c r="C20" s="13">
        <f t="shared" si="0"/>
        <v>4000</v>
      </c>
      <c r="D20" s="10" t="s">
        <v>39</v>
      </c>
      <c r="E20" s="30" t="s">
        <v>48</v>
      </c>
      <c r="F20" s="18"/>
      <c r="G20" s="25">
        <v>20</v>
      </c>
      <c r="H20" s="21">
        <f t="shared" si="2"/>
        <v>0</v>
      </c>
      <c r="I20" s="22"/>
      <c r="J20" s="22"/>
    </row>
    <row r="21" spans="1:10" ht="19.5">
      <c r="A21" s="9" t="s">
        <v>28</v>
      </c>
      <c r="B21" s="15">
        <v>500</v>
      </c>
      <c r="C21" s="13">
        <f t="shared" si="0"/>
        <v>500</v>
      </c>
      <c r="D21" s="10" t="s">
        <v>35</v>
      </c>
      <c r="E21" s="30" t="s">
        <v>27</v>
      </c>
      <c r="F21" s="20"/>
      <c r="G21" s="25"/>
      <c r="H21" s="21"/>
      <c r="I21" s="22">
        <v>6.2</v>
      </c>
      <c r="J21" s="22">
        <f t="shared" si="1"/>
        <v>0</v>
      </c>
    </row>
    <row r="22" spans="1:10" ht="19.5">
      <c r="A22" s="9" t="s">
        <v>29</v>
      </c>
      <c r="B22" s="15">
        <v>2000</v>
      </c>
      <c r="C22" s="13">
        <f t="shared" si="0"/>
        <v>2000</v>
      </c>
      <c r="D22" s="10" t="s">
        <v>35</v>
      </c>
      <c r="E22" s="30" t="s">
        <v>49</v>
      </c>
      <c r="F22" s="20"/>
      <c r="G22" s="25"/>
      <c r="H22" s="21"/>
      <c r="I22" s="22">
        <v>2.5</v>
      </c>
      <c r="J22" s="22">
        <f t="shared" si="1"/>
        <v>0</v>
      </c>
    </row>
    <row r="23" spans="1:10" ht="19.5">
      <c r="A23" s="9" t="s">
        <v>30</v>
      </c>
      <c r="B23" s="15">
        <v>800</v>
      </c>
      <c r="C23" s="13">
        <f t="shared" si="0"/>
        <v>800</v>
      </c>
      <c r="D23" s="10" t="s">
        <v>39</v>
      </c>
      <c r="E23" s="30" t="s">
        <v>50</v>
      </c>
      <c r="F23" s="20"/>
      <c r="G23" s="25"/>
      <c r="H23" s="21"/>
      <c r="I23" s="22">
        <v>3.2</v>
      </c>
      <c r="J23" s="22">
        <f t="shared" si="1"/>
        <v>0</v>
      </c>
    </row>
    <row r="24" spans="1:10" ht="19.5">
      <c r="A24" s="9" t="s">
        <v>31</v>
      </c>
      <c r="B24" s="15">
        <v>2000</v>
      </c>
      <c r="C24" s="13">
        <f t="shared" si="0"/>
        <v>2000</v>
      </c>
      <c r="D24" s="10" t="s">
        <v>44</v>
      </c>
      <c r="E24" s="30" t="s">
        <v>51</v>
      </c>
      <c r="F24" s="19"/>
      <c r="G24" s="25"/>
      <c r="H24" s="21"/>
      <c r="I24" s="22">
        <v>3.8</v>
      </c>
      <c r="J24" s="22">
        <f t="shared" si="1"/>
        <v>0</v>
      </c>
    </row>
    <row r="25" spans="1:10" ht="19.5">
      <c r="A25" s="9" t="s">
        <v>32</v>
      </c>
      <c r="B25" s="15">
        <v>2000</v>
      </c>
      <c r="C25" s="13">
        <f t="shared" si="0"/>
        <v>2000</v>
      </c>
      <c r="D25" s="10" t="s">
        <v>44</v>
      </c>
      <c r="E25" s="30" t="s">
        <v>52</v>
      </c>
      <c r="F25" s="18"/>
      <c r="G25" s="25"/>
      <c r="H25" s="21"/>
      <c r="I25" s="22">
        <v>7</v>
      </c>
      <c r="J25" s="22">
        <f t="shared" si="1"/>
        <v>0</v>
      </c>
    </row>
    <row r="26" spans="1:10" ht="19.5">
      <c r="A26" s="9" t="s">
        <v>126</v>
      </c>
      <c r="B26" s="15">
        <v>2000</v>
      </c>
      <c r="C26" s="13">
        <f t="shared" si="0"/>
        <v>2000</v>
      </c>
      <c r="D26" s="10" t="s">
        <v>44</v>
      </c>
      <c r="E26" s="30" t="s">
        <v>53</v>
      </c>
      <c r="F26" s="17"/>
      <c r="G26" s="21"/>
      <c r="H26" s="21"/>
      <c r="I26" s="22">
        <v>7</v>
      </c>
      <c r="J26" s="22">
        <f t="shared" si="1"/>
        <v>0</v>
      </c>
    </row>
    <row r="27" spans="1:10" ht="19.5">
      <c r="A27" s="9" t="s">
        <v>127</v>
      </c>
      <c r="B27" s="15">
        <v>4000</v>
      </c>
      <c r="C27" s="13">
        <f t="shared" si="0"/>
        <v>4000</v>
      </c>
      <c r="D27" s="10" t="s">
        <v>54</v>
      </c>
      <c r="E27" s="30" t="s">
        <v>55</v>
      </c>
      <c r="F27" s="18"/>
      <c r="G27" s="25">
        <v>10</v>
      </c>
      <c r="H27" s="21">
        <f t="shared" si="2"/>
        <v>0</v>
      </c>
      <c r="I27" s="22"/>
      <c r="J27" s="22"/>
    </row>
    <row r="28" spans="1:10" ht="19.5">
      <c r="A28" s="9" t="s">
        <v>128</v>
      </c>
      <c r="B28" s="15">
        <v>4000</v>
      </c>
      <c r="C28" s="13">
        <f t="shared" si="0"/>
        <v>4000</v>
      </c>
      <c r="D28" s="10" t="s">
        <v>39</v>
      </c>
      <c r="E28" s="30" t="s">
        <v>56</v>
      </c>
      <c r="F28" s="18"/>
      <c r="G28" s="25">
        <v>30</v>
      </c>
      <c r="H28" s="21">
        <f t="shared" si="2"/>
        <v>0</v>
      </c>
      <c r="I28" s="22"/>
      <c r="J28" s="22"/>
    </row>
    <row r="29" spans="1:10" ht="19.5">
      <c r="A29" s="9" t="s">
        <v>129</v>
      </c>
      <c r="B29" s="15">
        <v>4000</v>
      </c>
      <c r="C29" s="13">
        <f t="shared" si="0"/>
        <v>4000</v>
      </c>
      <c r="D29" s="10" t="s">
        <v>39</v>
      </c>
      <c r="E29" s="30" t="s">
        <v>57</v>
      </c>
      <c r="F29" s="18"/>
      <c r="G29" s="25">
        <v>15</v>
      </c>
      <c r="H29" s="21">
        <f t="shared" si="2"/>
        <v>0</v>
      </c>
      <c r="I29" s="22"/>
      <c r="J29" s="22"/>
    </row>
    <row r="30" spans="1:10" ht="19.5">
      <c r="A30" s="9" t="s">
        <v>130</v>
      </c>
      <c r="B30" s="15">
        <v>4000</v>
      </c>
      <c r="C30" s="13">
        <f t="shared" si="0"/>
        <v>4000</v>
      </c>
      <c r="D30" s="10" t="s">
        <v>39</v>
      </c>
      <c r="E30" s="30" t="s">
        <v>58</v>
      </c>
      <c r="F30" s="18"/>
      <c r="G30" s="25">
        <v>21</v>
      </c>
      <c r="H30" s="21">
        <f t="shared" si="2"/>
        <v>0</v>
      </c>
      <c r="I30" s="22"/>
      <c r="J30" s="22"/>
    </row>
    <row r="31" spans="1:10" ht="19.5">
      <c r="A31" s="9" t="s">
        <v>131</v>
      </c>
      <c r="B31" s="15">
        <v>4000</v>
      </c>
      <c r="C31" s="13">
        <f t="shared" si="0"/>
        <v>4000</v>
      </c>
      <c r="D31" s="10" t="s">
        <v>39</v>
      </c>
      <c r="E31" s="30" t="s">
        <v>59</v>
      </c>
      <c r="F31" s="19"/>
      <c r="G31" s="25">
        <v>30</v>
      </c>
      <c r="H31" s="21">
        <f t="shared" si="2"/>
        <v>0</v>
      </c>
      <c r="I31" s="22"/>
      <c r="J31" s="22"/>
    </row>
    <row r="32" spans="1:10" ht="19.5">
      <c r="A32" s="9" t="s">
        <v>132</v>
      </c>
      <c r="B32" s="15">
        <v>120</v>
      </c>
      <c r="C32" s="13">
        <f t="shared" si="0"/>
        <v>120</v>
      </c>
      <c r="D32" s="10" t="s">
        <v>15</v>
      </c>
      <c r="E32" s="30" t="s">
        <v>195</v>
      </c>
      <c r="F32" s="19"/>
      <c r="G32" s="25">
        <v>25</v>
      </c>
      <c r="H32" s="21">
        <f t="shared" si="2"/>
        <v>0</v>
      </c>
      <c r="I32" s="22"/>
      <c r="J32" s="22"/>
    </row>
    <row r="33" spans="1:10" ht="19.5">
      <c r="A33" s="9" t="s">
        <v>133</v>
      </c>
      <c r="B33" s="15">
        <v>120</v>
      </c>
      <c r="C33" s="13">
        <f t="shared" si="0"/>
        <v>120</v>
      </c>
      <c r="D33" s="10" t="s">
        <v>15</v>
      </c>
      <c r="E33" s="30" t="s">
        <v>196</v>
      </c>
      <c r="F33" s="19"/>
      <c r="G33" s="25">
        <v>30</v>
      </c>
      <c r="H33" s="21">
        <f t="shared" si="2"/>
        <v>0</v>
      </c>
      <c r="I33" s="22"/>
      <c r="J33" s="22"/>
    </row>
    <row r="34" spans="1:10" ht="19.5">
      <c r="A34" s="9" t="s">
        <v>134</v>
      </c>
      <c r="B34" s="15">
        <v>400</v>
      </c>
      <c r="C34" s="13">
        <f t="shared" si="0"/>
        <v>400</v>
      </c>
      <c r="D34" s="10" t="s">
        <v>15</v>
      </c>
      <c r="E34" s="30" t="s">
        <v>197</v>
      </c>
      <c r="F34" s="19"/>
      <c r="G34" s="25">
        <v>30</v>
      </c>
      <c r="H34" s="21">
        <f t="shared" si="2"/>
        <v>0</v>
      </c>
      <c r="I34" s="22"/>
      <c r="J34" s="22"/>
    </row>
    <row r="35" spans="1:10" ht="19.5">
      <c r="A35" s="9" t="s">
        <v>135</v>
      </c>
      <c r="B35" s="15">
        <v>120</v>
      </c>
      <c r="C35" s="13">
        <f t="shared" si="0"/>
        <v>120</v>
      </c>
      <c r="D35" s="10" t="s">
        <v>15</v>
      </c>
      <c r="E35" s="30" t="s">
        <v>210</v>
      </c>
      <c r="F35" s="19"/>
      <c r="G35" s="25">
        <v>10</v>
      </c>
      <c r="H35" s="21">
        <f t="shared" si="2"/>
        <v>0</v>
      </c>
      <c r="I35" s="22"/>
      <c r="J35" s="22"/>
    </row>
    <row r="36" spans="1:10" ht="19.5">
      <c r="A36" s="9" t="s">
        <v>136</v>
      </c>
      <c r="B36" s="15">
        <v>4000</v>
      </c>
      <c r="C36" s="13">
        <f t="shared" si="0"/>
        <v>4000</v>
      </c>
      <c r="D36" s="10" t="s">
        <v>39</v>
      </c>
      <c r="E36" s="30" t="s">
        <v>60</v>
      </c>
      <c r="F36" s="18"/>
      <c r="G36" s="25">
        <v>13</v>
      </c>
      <c r="H36" s="21">
        <f t="shared" si="2"/>
        <v>0</v>
      </c>
      <c r="I36" s="22"/>
      <c r="J36" s="22"/>
    </row>
    <row r="37" spans="1:10" ht="19.5">
      <c r="A37" s="9" t="s">
        <v>137</v>
      </c>
      <c r="B37" s="15">
        <v>3000</v>
      </c>
      <c r="C37" s="13">
        <f t="shared" si="0"/>
        <v>3000</v>
      </c>
      <c r="D37" s="10" t="s">
        <v>54</v>
      </c>
      <c r="E37" s="30" t="s">
        <v>61</v>
      </c>
      <c r="F37" s="18"/>
      <c r="G37" s="25">
        <v>28</v>
      </c>
      <c r="H37" s="21">
        <f t="shared" si="2"/>
        <v>0</v>
      </c>
      <c r="I37" s="22"/>
      <c r="J37" s="22"/>
    </row>
    <row r="38" spans="1:10" ht="19.5">
      <c r="A38" s="9" t="s">
        <v>138</v>
      </c>
      <c r="B38" s="15">
        <v>2000</v>
      </c>
      <c r="C38" s="13">
        <f t="shared" si="0"/>
        <v>2000</v>
      </c>
      <c r="D38" s="10" t="s">
        <v>39</v>
      </c>
      <c r="E38" s="30" t="s">
        <v>62</v>
      </c>
      <c r="F38" s="18"/>
      <c r="G38" s="25"/>
      <c r="H38" s="21"/>
      <c r="I38" s="22">
        <v>21</v>
      </c>
      <c r="J38" s="22">
        <f t="shared" ref="J38:J55" si="3">F38*I38</f>
        <v>0</v>
      </c>
    </row>
    <row r="39" spans="1:10" ht="19.5">
      <c r="A39" s="9" t="s">
        <v>139</v>
      </c>
      <c r="B39" s="15">
        <v>400</v>
      </c>
      <c r="C39" s="13">
        <f t="shared" si="0"/>
        <v>400</v>
      </c>
      <c r="D39" s="10" t="s">
        <v>63</v>
      </c>
      <c r="E39" s="30" t="s">
        <v>64</v>
      </c>
      <c r="F39" s="18"/>
      <c r="G39" s="25"/>
      <c r="H39" s="21"/>
      <c r="I39" s="22">
        <v>3</v>
      </c>
      <c r="J39" s="22">
        <f t="shared" si="3"/>
        <v>0</v>
      </c>
    </row>
    <row r="40" spans="1:10" ht="19.5">
      <c r="A40" s="9" t="s">
        <v>140</v>
      </c>
      <c r="B40" s="15">
        <v>400</v>
      </c>
      <c r="C40" s="13">
        <f t="shared" si="0"/>
        <v>400</v>
      </c>
      <c r="D40" s="10" t="s">
        <v>63</v>
      </c>
      <c r="E40" s="30" t="s">
        <v>65</v>
      </c>
      <c r="F40" s="18"/>
      <c r="G40" s="25"/>
      <c r="H40" s="21"/>
      <c r="I40" s="22">
        <v>9</v>
      </c>
      <c r="J40" s="22">
        <f t="shared" si="3"/>
        <v>0</v>
      </c>
    </row>
    <row r="41" spans="1:10" ht="19.5">
      <c r="A41" s="9" t="s">
        <v>142</v>
      </c>
      <c r="B41" s="15">
        <v>4000</v>
      </c>
      <c r="C41" s="13">
        <f t="shared" si="0"/>
        <v>4000</v>
      </c>
      <c r="D41" s="10" t="s">
        <v>199</v>
      </c>
      <c r="E41" s="30" t="s">
        <v>200</v>
      </c>
      <c r="F41" s="18"/>
      <c r="G41" s="25"/>
      <c r="H41" s="21"/>
      <c r="I41" s="22">
        <v>6.99</v>
      </c>
      <c r="J41" s="22">
        <f t="shared" si="3"/>
        <v>0</v>
      </c>
    </row>
    <row r="42" spans="1:10" ht="31.5">
      <c r="A42" s="9" t="s">
        <v>198</v>
      </c>
      <c r="B42" s="15">
        <v>0</v>
      </c>
      <c r="C42" s="13">
        <f t="shared" si="0"/>
        <v>0</v>
      </c>
      <c r="D42" s="10" t="s">
        <v>39</v>
      </c>
      <c r="E42" s="11" t="s">
        <v>66</v>
      </c>
      <c r="F42" s="18"/>
      <c r="G42" s="25"/>
      <c r="H42" s="21"/>
      <c r="I42" s="22"/>
      <c r="J42" s="22"/>
    </row>
    <row r="43" spans="1:10" ht="19.5">
      <c r="A43" s="9" t="s">
        <v>143</v>
      </c>
      <c r="B43" s="15">
        <v>400</v>
      </c>
      <c r="C43" s="13">
        <f t="shared" si="0"/>
        <v>400</v>
      </c>
      <c r="D43" s="10" t="s">
        <v>63</v>
      </c>
      <c r="E43" s="30" t="s">
        <v>67</v>
      </c>
      <c r="F43" s="20"/>
      <c r="G43" s="25"/>
      <c r="H43" s="21"/>
      <c r="I43" s="22">
        <v>2.8</v>
      </c>
      <c r="J43" s="22">
        <f t="shared" si="3"/>
        <v>0</v>
      </c>
    </row>
    <row r="44" spans="1:10" ht="19.5">
      <c r="A44" s="9" t="s">
        <v>144</v>
      </c>
      <c r="B44" s="15">
        <v>1000</v>
      </c>
      <c r="C44" s="13">
        <f t="shared" si="0"/>
        <v>1000</v>
      </c>
      <c r="D44" s="10" t="s">
        <v>39</v>
      </c>
      <c r="E44" s="30" t="s">
        <v>68</v>
      </c>
      <c r="F44" s="20"/>
      <c r="G44" s="25">
        <v>16</v>
      </c>
      <c r="H44" s="21">
        <f t="shared" ref="H44:H68" si="4">F44*G44</f>
        <v>0</v>
      </c>
      <c r="I44" s="22"/>
      <c r="J44" s="22"/>
    </row>
    <row r="45" spans="1:10" ht="19.5">
      <c r="A45" s="9" t="s">
        <v>145</v>
      </c>
      <c r="B45" s="15">
        <v>400</v>
      </c>
      <c r="C45" s="13">
        <f t="shared" si="0"/>
        <v>400</v>
      </c>
      <c r="D45" s="10" t="s">
        <v>63</v>
      </c>
      <c r="E45" s="30" t="s">
        <v>69</v>
      </c>
      <c r="F45" s="20"/>
      <c r="G45" s="25"/>
      <c r="H45" s="21"/>
      <c r="I45" s="22">
        <v>5</v>
      </c>
      <c r="J45" s="22">
        <f t="shared" si="3"/>
        <v>0</v>
      </c>
    </row>
    <row r="46" spans="1:10" ht="19.5">
      <c r="A46" s="9" t="s">
        <v>198</v>
      </c>
      <c r="B46" s="15">
        <v>0</v>
      </c>
      <c r="C46" s="13">
        <f t="shared" si="0"/>
        <v>0</v>
      </c>
      <c r="D46" s="10" t="s">
        <v>39</v>
      </c>
      <c r="E46" s="11" t="s">
        <v>70</v>
      </c>
      <c r="F46" s="19"/>
      <c r="G46" s="25"/>
      <c r="H46" s="21"/>
      <c r="I46" s="22"/>
      <c r="J46" s="22"/>
    </row>
    <row r="47" spans="1:10" ht="19.5">
      <c r="A47" s="9" t="s">
        <v>146</v>
      </c>
      <c r="B47" s="15">
        <v>1000</v>
      </c>
      <c r="C47" s="13">
        <f t="shared" si="0"/>
        <v>1000</v>
      </c>
      <c r="D47" s="10" t="s">
        <v>63</v>
      </c>
      <c r="E47" s="30" t="s">
        <v>71</v>
      </c>
      <c r="F47" s="18"/>
      <c r="G47" s="25"/>
      <c r="H47" s="21"/>
      <c r="I47" s="22">
        <v>5</v>
      </c>
      <c r="J47" s="22">
        <f t="shared" si="3"/>
        <v>0</v>
      </c>
    </row>
    <row r="48" spans="1:10" ht="19.5">
      <c r="A48" s="9" t="s">
        <v>198</v>
      </c>
      <c r="B48" s="15">
        <v>0</v>
      </c>
      <c r="C48" s="13">
        <f t="shared" si="0"/>
        <v>0</v>
      </c>
      <c r="D48" s="10" t="s">
        <v>39</v>
      </c>
      <c r="E48" s="11" t="s">
        <v>72</v>
      </c>
      <c r="F48" s="17"/>
      <c r="G48" s="21"/>
      <c r="H48" s="21"/>
      <c r="I48" s="22"/>
      <c r="J48" s="22"/>
    </row>
    <row r="49" spans="1:10" ht="19.5">
      <c r="A49" s="9" t="s">
        <v>147</v>
      </c>
      <c r="B49" s="15">
        <v>2000</v>
      </c>
      <c r="C49" s="13">
        <f t="shared" si="0"/>
        <v>2000</v>
      </c>
      <c r="D49" s="10" t="s">
        <v>63</v>
      </c>
      <c r="E49" s="30" t="s">
        <v>73</v>
      </c>
      <c r="F49" s="18"/>
      <c r="G49" s="25"/>
      <c r="H49" s="21"/>
      <c r="I49" s="22">
        <v>4.5</v>
      </c>
      <c r="J49" s="22">
        <f t="shared" si="3"/>
        <v>0</v>
      </c>
    </row>
    <row r="50" spans="1:10" ht="19.5">
      <c r="A50" s="9" t="s">
        <v>148</v>
      </c>
      <c r="B50" s="15">
        <v>2000</v>
      </c>
      <c r="C50" s="13">
        <f t="shared" si="0"/>
        <v>2000</v>
      </c>
      <c r="D50" s="10" t="s">
        <v>63</v>
      </c>
      <c r="E50" s="30" t="s">
        <v>74</v>
      </c>
      <c r="F50" s="18"/>
      <c r="G50" s="25"/>
      <c r="H50" s="21"/>
      <c r="I50" s="22">
        <v>5.4</v>
      </c>
      <c r="J50" s="22">
        <f t="shared" si="3"/>
        <v>0</v>
      </c>
    </row>
    <row r="51" spans="1:10" ht="19.5">
      <c r="A51" s="9" t="s">
        <v>149</v>
      </c>
      <c r="B51" s="15">
        <v>1000</v>
      </c>
      <c r="C51" s="13">
        <f t="shared" si="0"/>
        <v>1000</v>
      </c>
      <c r="D51" s="10" t="s">
        <v>39</v>
      </c>
      <c r="E51" s="30" t="s">
        <v>75</v>
      </c>
      <c r="F51" s="18"/>
      <c r="G51" s="25">
        <v>7</v>
      </c>
      <c r="H51" s="21">
        <f t="shared" si="4"/>
        <v>0</v>
      </c>
      <c r="I51" s="22"/>
      <c r="J51" s="22"/>
    </row>
    <row r="52" spans="1:10" ht="31.5">
      <c r="A52" s="9" t="s">
        <v>198</v>
      </c>
      <c r="B52" s="15">
        <v>0</v>
      </c>
      <c r="C52" s="13">
        <f t="shared" si="0"/>
        <v>0</v>
      </c>
      <c r="D52" s="10" t="s">
        <v>63</v>
      </c>
      <c r="E52" s="11" t="s">
        <v>76</v>
      </c>
      <c r="F52" s="18"/>
      <c r="G52" s="25"/>
      <c r="H52" s="21"/>
      <c r="I52" s="22"/>
      <c r="J52" s="22"/>
    </row>
    <row r="53" spans="1:10" ht="19.5">
      <c r="A53" s="9" t="s">
        <v>151</v>
      </c>
      <c r="B53" s="15">
        <v>500</v>
      </c>
      <c r="C53" s="13">
        <f t="shared" si="0"/>
        <v>500</v>
      </c>
      <c r="D53" s="10" t="s">
        <v>39</v>
      </c>
      <c r="E53" s="30" t="s">
        <v>77</v>
      </c>
      <c r="F53" s="19"/>
      <c r="G53" s="25"/>
      <c r="H53" s="21"/>
      <c r="I53" s="22">
        <v>12</v>
      </c>
      <c r="J53" s="22">
        <f t="shared" si="3"/>
        <v>0</v>
      </c>
    </row>
    <row r="54" spans="1:10" ht="19.5">
      <c r="A54" s="9" t="s">
        <v>152</v>
      </c>
      <c r="B54" s="15">
        <v>500</v>
      </c>
      <c r="C54" s="13">
        <f t="shared" si="0"/>
        <v>500</v>
      </c>
      <c r="D54" s="10" t="s">
        <v>63</v>
      </c>
      <c r="E54" s="30" t="s">
        <v>78</v>
      </c>
      <c r="F54" s="18"/>
      <c r="G54" s="25">
        <v>1.7</v>
      </c>
      <c r="H54" s="21">
        <f t="shared" si="4"/>
        <v>0</v>
      </c>
      <c r="I54" s="22"/>
      <c r="J54" s="22"/>
    </row>
    <row r="55" spans="1:10" ht="47.25">
      <c r="A55" s="9" t="s">
        <v>153</v>
      </c>
      <c r="B55" s="15">
        <v>500</v>
      </c>
      <c r="C55" s="13">
        <f t="shared" si="0"/>
        <v>500</v>
      </c>
      <c r="D55" s="10" t="s">
        <v>39</v>
      </c>
      <c r="E55" s="30" t="s">
        <v>79</v>
      </c>
      <c r="F55" s="18"/>
      <c r="G55" s="25"/>
      <c r="H55" s="21"/>
      <c r="I55" s="22">
        <v>3.6</v>
      </c>
      <c r="J55" s="22">
        <f t="shared" si="3"/>
        <v>0</v>
      </c>
    </row>
    <row r="56" spans="1:10" ht="19.5">
      <c r="A56" s="9" t="s">
        <v>154</v>
      </c>
      <c r="B56" s="15">
        <v>100</v>
      </c>
      <c r="C56" s="13">
        <f t="shared" si="0"/>
        <v>100</v>
      </c>
      <c r="D56" s="10" t="s">
        <v>63</v>
      </c>
      <c r="E56" s="30" t="s">
        <v>201</v>
      </c>
      <c r="F56" s="18"/>
      <c r="G56" s="25">
        <v>3.5</v>
      </c>
      <c r="H56" s="21">
        <f t="shared" si="4"/>
        <v>0</v>
      </c>
      <c r="I56" s="22"/>
      <c r="J56" s="22"/>
    </row>
    <row r="57" spans="1:10" ht="19.5">
      <c r="A57" s="9" t="s">
        <v>155</v>
      </c>
      <c r="B57" s="15">
        <v>100</v>
      </c>
      <c r="C57" s="13">
        <f t="shared" si="0"/>
        <v>100</v>
      </c>
      <c r="D57" s="10" t="s">
        <v>63</v>
      </c>
      <c r="E57" s="30" t="s">
        <v>202</v>
      </c>
      <c r="F57" s="18"/>
      <c r="G57" s="25">
        <v>3.5</v>
      </c>
      <c r="H57" s="21">
        <f t="shared" si="4"/>
        <v>0</v>
      </c>
      <c r="I57" s="22"/>
      <c r="J57" s="22"/>
    </row>
    <row r="58" spans="1:10" ht="19.5">
      <c r="A58" s="9" t="s">
        <v>156</v>
      </c>
      <c r="B58" s="15">
        <v>100</v>
      </c>
      <c r="C58" s="13">
        <f t="shared" si="0"/>
        <v>100</v>
      </c>
      <c r="D58" s="10" t="s">
        <v>63</v>
      </c>
      <c r="E58" s="30" t="s">
        <v>203</v>
      </c>
      <c r="F58" s="18"/>
      <c r="G58" s="25">
        <v>3.5</v>
      </c>
      <c r="H58" s="21">
        <f t="shared" si="4"/>
        <v>0</v>
      </c>
      <c r="I58" s="22"/>
      <c r="J58" s="22"/>
    </row>
    <row r="59" spans="1:10" ht="63">
      <c r="A59" s="9" t="s">
        <v>157</v>
      </c>
      <c r="B59" s="15">
        <v>200</v>
      </c>
      <c r="C59" s="13">
        <f t="shared" si="0"/>
        <v>200</v>
      </c>
      <c r="D59" s="10" t="s">
        <v>63</v>
      </c>
      <c r="E59" s="30" t="s">
        <v>80</v>
      </c>
      <c r="F59" s="18"/>
      <c r="G59" s="25">
        <v>3.4</v>
      </c>
      <c r="H59" s="21">
        <f t="shared" si="4"/>
        <v>0</v>
      </c>
      <c r="I59" s="22">
        <v>0</v>
      </c>
      <c r="J59" s="22">
        <f t="shared" ref="J59:J90" si="5">F59*I59</f>
        <v>0</v>
      </c>
    </row>
    <row r="60" spans="1:10" ht="19.5">
      <c r="A60" s="9" t="s">
        <v>158</v>
      </c>
      <c r="B60" s="15">
        <v>200</v>
      </c>
      <c r="C60" s="13">
        <f t="shared" si="0"/>
        <v>200</v>
      </c>
      <c r="D60" s="10" t="s">
        <v>15</v>
      </c>
      <c r="E60" s="30" t="s">
        <v>81</v>
      </c>
      <c r="F60" s="18"/>
      <c r="G60" s="25"/>
      <c r="H60" s="21"/>
      <c r="I60" s="22">
        <v>27</v>
      </c>
      <c r="J60" s="22">
        <f t="shared" si="5"/>
        <v>0</v>
      </c>
    </row>
    <row r="61" spans="1:10" ht="63">
      <c r="A61" s="9" t="s">
        <v>159</v>
      </c>
      <c r="B61" s="15">
        <v>400</v>
      </c>
      <c r="C61" s="13">
        <f t="shared" si="0"/>
        <v>400</v>
      </c>
      <c r="D61" s="10" t="s">
        <v>82</v>
      </c>
      <c r="E61" s="30" t="s">
        <v>83</v>
      </c>
      <c r="F61" s="18"/>
      <c r="G61" s="25"/>
      <c r="H61" s="21"/>
      <c r="I61" s="22">
        <v>35</v>
      </c>
      <c r="J61" s="22">
        <f t="shared" si="5"/>
        <v>0</v>
      </c>
    </row>
    <row r="62" spans="1:10" ht="63">
      <c r="A62" s="9" t="s">
        <v>160</v>
      </c>
      <c r="B62" s="15">
        <v>400</v>
      </c>
      <c r="C62" s="13">
        <f t="shared" si="0"/>
        <v>400</v>
      </c>
      <c r="D62" s="10" t="s">
        <v>82</v>
      </c>
      <c r="E62" s="30" t="s">
        <v>84</v>
      </c>
      <c r="F62" s="18"/>
      <c r="G62" s="25"/>
      <c r="H62" s="21"/>
      <c r="I62" s="22">
        <v>35</v>
      </c>
      <c r="J62" s="22">
        <f t="shared" si="5"/>
        <v>0</v>
      </c>
    </row>
    <row r="63" spans="1:10" ht="31.5">
      <c r="A63" s="9" t="s">
        <v>198</v>
      </c>
      <c r="B63" s="15">
        <v>0</v>
      </c>
      <c r="C63" s="13">
        <f t="shared" si="0"/>
        <v>0</v>
      </c>
      <c r="D63" s="10" t="s">
        <v>54</v>
      </c>
      <c r="E63" s="11" t="s">
        <v>85</v>
      </c>
      <c r="F63" s="20"/>
      <c r="G63" s="25"/>
      <c r="H63" s="21"/>
      <c r="I63" s="22"/>
      <c r="J63" s="22"/>
    </row>
    <row r="64" spans="1:10" ht="47.25">
      <c r="A64" s="9" t="s">
        <v>162</v>
      </c>
      <c r="B64" s="15">
        <v>100</v>
      </c>
      <c r="C64" s="13">
        <f t="shared" si="0"/>
        <v>100</v>
      </c>
      <c r="D64" s="10" t="s">
        <v>39</v>
      </c>
      <c r="E64" s="30" t="s">
        <v>86</v>
      </c>
      <c r="F64" s="20"/>
      <c r="G64" s="25"/>
      <c r="H64" s="21"/>
      <c r="I64" s="22">
        <v>4.5</v>
      </c>
      <c r="J64" s="22">
        <f t="shared" si="5"/>
        <v>0</v>
      </c>
    </row>
    <row r="65" spans="1:10" ht="19.5">
      <c r="A65" s="9" t="s">
        <v>163</v>
      </c>
      <c r="B65" s="15">
        <v>100</v>
      </c>
      <c r="C65" s="13">
        <f t="shared" si="0"/>
        <v>100</v>
      </c>
      <c r="D65" s="10" t="s">
        <v>39</v>
      </c>
      <c r="E65" s="30" t="s">
        <v>87</v>
      </c>
      <c r="F65" s="20"/>
      <c r="G65" s="25">
        <v>12.75</v>
      </c>
      <c r="H65" s="21">
        <f t="shared" si="4"/>
        <v>0</v>
      </c>
      <c r="I65" s="22"/>
      <c r="J65" s="22"/>
    </row>
    <row r="66" spans="1:10" ht="19.5">
      <c r="A66" s="9" t="s">
        <v>164</v>
      </c>
      <c r="B66" s="15">
        <v>50</v>
      </c>
      <c r="C66" s="13">
        <f t="shared" si="0"/>
        <v>50</v>
      </c>
      <c r="D66" s="10" t="s">
        <v>15</v>
      </c>
      <c r="E66" s="30" t="s">
        <v>88</v>
      </c>
      <c r="F66" s="19"/>
      <c r="G66" s="25">
        <v>3.28</v>
      </c>
      <c r="H66" s="21">
        <f t="shared" si="4"/>
        <v>0</v>
      </c>
      <c r="I66" s="22"/>
      <c r="J66" s="22"/>
    </row>
    <row r="67" spans="1:10" ht="47.25">
      <c r="A67" s="9" t="s">
        <v>198</v>
      </c>
      <c r="B67" s="15">
        <v>0</v>
      </c>
      <c r="C67" s="13">
        <f t="shared" si="0"/>
        <v>0</v>
      </c>
      <c r="D67" s="10" t="s">
        <v>89</v>
      </c>
      <c r="E67" s="11" t="s">
        <v>90</v>
      </c>
      <c r="F67" s="18"/>
      <c r="G67" s="25"/>
      <c r="H67" s="21"/>
      <c r="I67" s="22"/>
      <c r="J67" s="22"/>
    </row>
    <row r="68" spans="1:10" ht="31.5">
      <c r="A68" s="9" t="s">
        <v>165</v>
      </c>
      <c r="B68" s="15">
        <v>80</v>
      </c>
      <c r="C68" s="13">
        <f t="shared" si="0"/>
        <v>80</v>
      </c>
      <c r="D68" s="10" t="s">
        <v>63</v>
      </c>
      <c r="E68" s="31" t="s">
        <v>91</v>
      </c>
      <c r="F68" s="17"/>
      <c r="G68" s="21">
        <v>5.5</v>
      </c>
      <c r="H68" s="21">
        <f t="shared" si="4"/>
        <v>0</v>
      </c>
      <c r="I68" s="22"/>
      <c r="J68" s="22">
        <f t="shared" si="5"/>
        <v>0</v>
      </c>
    </row>
    <row r="69" spans="1:10" ht="31.5">
      <c r="A69" s="9" t="s">
        <v>166</v>
      </c>
      <c r="B69" s="15">
        <v>500</v>
      </c>
      <c r="C69" s="13">
        <f t="shared" si="0"/>
        <v>500</v>
      </c>
      <c r="D69" s="10" t="s">
        <v>63</v>
      </c>
      <c r="E69" s="30" t="s">
        <v>92</v>
      </c>
      <c r="F69" s="18"/>
      <c r="G69" s="25"/>
      <c r="H69" s="21"/>
      <c r="I69" s="22">
        <v>3.2</v>
      </c>
      <c r="J69" s="22">
        <f t="shared" si="5"/>
        <v>0</v>
      </c>
    </row>
    <row r="70" spans="1:10" ht="31.5">
      <c r="A70" s="9" t="s">
        <v>167</v>
      </c>
      <c r="B70" s="15">
        <v>500</v>
      </c>
      <c r="C70" s="13">
        <f t="shared" si="0"/>
        <v>500</v>
      </c>
      <c r="D70" s="10" t="s">
        <v>63</v>
      </c>
      <c r="E70" s="30" t="s">
        <v>93</v>
      </c>
      <c r="F70" s="18"/>
      <c r="G70" s="25"/>
      <c r="H70" s="21"/>
      <c r="I70" s="22">
        <v>4.9000000000000004</v>
      </c>
      <c r="J70" s="22">
        <f t="shared" si="5"/>
        <v>0</v>
      </c>
    </row>
    <row r="71" spans="1:10" ht="31.5">
      <c r="A71" s="9" t="s">
        <v>168</v>
      </c>
      <c r="B71" s="15">
        <v>50</v>
      </c>
      <c r="C71" s="13">
        <f t="shared" si="0"/>
        <v>50</v>
      </c>
      <c r="D71" s="10" t="s">
        <v>63</v>
      </c>
      <c r="E71" s="31" t="s">
        <v>94</v>
      </c>
      <c r="F71" s="18"/>
      <c r="G71" s="25"/>
      <c r="H71" s="21"/>
      <c r="I71" s="22">
        <v>11</v>
      </c>
      <c r="J71" s="22">
        <f t="shared" si="5"/>
        <v>0</v>
      </c>
    </row>
    <row r="72" spans="1:10" ht="31.5">
      <c r="A72" s="9" t="s">
        <v>169</v>
      </c>
      <c r="B72" s="15">
        <v>600</v>
      </c>
      <c r="C72" s="13">
        <f t="shared" si="0"/>
        <v>600</v>
      </c>
      <c r="D72" s="10" t="s">
        <v>63</v>
      </c>
      <c r="E72" s="30" t="s">
        <v>95</v>
      </c>
      <c r="F72" s="18"/>
      <c r="G72" s="25"/>
      <c r="H72" s="21"/>
      <c r="I72" s="22">
        <v>2.2999999999999998</v>
      </c>
      <c r="J72" s="22">
        <f t="shared" si="5"/>
        <v>0</v>
      </c>
    </row>
    <row r="73" spans="1:10" ht="31.5">
      <c r="A73" s="9" t="s">
        <v>170</v>
      </c>
      <c r="B73" s="15">
        <v>200</v>
      </c>
      <c r="C73" s="13">
        <f t="shared" si="0"/>
        <v>200</v>
      </c>
      <c r="D73" s="10" t="s">
        <v>63</v>
      </c>
      <c r="E73" s="30" t="s">
        <v>96</v>
      </c>
      <c r="F73" s="19"/>
      <c r="G73" s="25"/>
      <c r="H73" s="21"/>
      <c r="I73" s="22">
        <v>3.5</v>
      </c>
      <c r="J73" s="22">
        <f t="shared" si="5"/>
        <v>0</v>
      </c>
    </row>
    <row r="74" spans="1:10" ht="31.5">
      <c r="A74" s="9" t="s">
        <v>171</v>
      </c>
      <c r="B74" s="15">
        <v>200</v>
      </c>
      <c r="C74" s="13">
        <f t="shared" ref="C74:C99" si="6">B74-F74</f>
        <v>200</v>
      </c>
      <c r="D74" s="10" t="s">
        <v>63</v>
      </c>
      <c r="E74" s="30" t="s">
        <v>97</v>
      </c>
      <c r="F74" s="18"/>
      <c r="G74" s="25"/>
      <c r="H74" s="21"/>
      <c r="I74" s="22">
        <v>4.5</v>
      </c>
      <c r="J74" s="22">
        <f t="shared" si="5"/>
        <v>0</v>
      </c>
    </row>
    <row r="75" spans="1:10" ht="31.5">
      <c r="A75" s="9" t="s">
        <v>172</v>
      </c>
      <c r="B75" s="15">
        <v>200</v>
      </c>
      <c r="C75" s="13">
        <f t="shared" si="6"/>
        <v>200</v>
      </c>
      <c r="D75" s="10" t="s">
        <v>63</v>
      </c>
      <c r="E75" s="30" t="s">
        <v>98</v>
      </c>
      <c r="F75" s="18"/>
      <c r="G75" s="25"/>
      <c r="H75" s="21"/>
      <c r="I75" s="22">
        <v>4.5</v>
      </c>
      <c r="J75" s="22">
        <f t="shared" si="5"/>
        <v>0</v>
      </c>
    </row>
    <row r="76" spans="1:10" ht="31.5">
      <c r="A76" s="9" t="s">
        <v>173</v>
      </c>
      <c r="B76" s="15">
        <v>200</v>
      </c>
      <c r="C76" s="13">
        <f t="shared" si="6"/>
        <v>200</v>
      </c>
      <c r="D76" s="10" t="s">
        <v>63</v>
      </c>
      <c r="E76" s="30" t="s">
        <v>99</v>
      </c>
      <c r="F76" s="18"/>
      <c r="G76" s="25"/>
      <c r="H76" s="21"/>
      <c r="I76" s="22">
        <v>4.5</v>
      </c>
      <c r="J76" s="22">
        <f t="shared" si="5"/>
        <v>0</v>
      </c>
    </row>
    <row r="77" spans="1:10" ht="31.5">
      <c r="A77" s="9" t="s">
        <v>174</v>
      </c>
      <c r="B77" s="15">
        <v>200</v>
      </c>
      <c r="C77" s="13">
        <f t="shared" si="6"/>
        <v>200</v>
      </c>
      <c r="D77" s="10" t="s">
        <v>63</v>
      </c>
      <c r="E77" s="30" t="s">
        <v>100</v>
      </c>
      <c r="F77" s="18"/>
      <c r="G77" s="25"/>
      <c r="H77" s="21"/>
      <c r="I77" s="22">
        <v>4</v>
      </c>
      <c r="J77" s="22">
        <f t="shared" si="5"/>
        <v>0</v>
      </c>
    </row>
    <row r="78" spans="1:10" ht="19.5">
      <c r="A78" s="9" t="s">
        <v>175</v>
      </c>
      <c r="B78" s="15">
        <v>400</v>
      </c>
      <c r="C78" s="13">
        <f t="shared" si="6"/>
        <v>400</v>
      </c>
      <c r="D78" s="10" t="s">
        <v>44</v>
      </c>
      <c r="E78" s="30" t="s">
        <v>101</v>
      </c>
      <c r="F78" s="18"/>
      <c r="G78" s="25"/>
      <c r="H78" s="21"/>
      <c r="I78" s="22">
        <v>4</v>
      </c>
      <c r="J78" s="22">
        <f t="shared" si="5"/>
        <v>0</v>
      </c>
    </row>
    <row r="79" spans="1:10" ht="47.25">
      <c r="A79" s="9" t="s">
        <v>176</v>
      </c>
      <c r="B79" s="15">
        <v>100</v>
      </c>
      <c r="C79" s="13">
        <f t="shared" si="6"/>
        <v>100</v>
      </c>
      <c r="D79" s="10" t="s">
        <v>102</v>
      </c>
      <c r="E79" s="30" t="s">
        <v>103</v>
      </c>
      <c r="F79" s="18"/>
      <c r="G79" s="25"/>
      <c r="H79" s="21"/>
      <c r="I79" s="22">
        <v>20</v>
      </c>
      <c r="J79" s="22">
        <f t="shared" si="5"/>
        <v>0</v>
      </c>
    </row>
    <row r="80" spans="1:10" ht="19.5">
      <c r="A80" s="9" t="s">
        <v>177</v>
      </c>
      <c r="B80" s="15">
        <v>100</v>
      </c>
      <c r="C80" s="13">
        <f t="shared" si="6"/>
        <v>100</v>
      </c>
      <c r="D80" s="10" t="s">
        <v>102</v>
      </c>
      <c r="E80" s="30" t="s">
        <v>104</v>
      </c>
      <c r="F80" s="20"/>
      <c r="G80" s="25"/>
      <c r="H80" s="21"/>
      <c r="I80" s="22"/>
      <c r="J80" s="22"/>
    </row>
    <row r="81" spans="1:10" ht="19.5">
      <c r="A81" s="9" t="s">
        <v>178</v>
      </c>
      <c r="B81" s="15">
        <v>800</v>
      </c>
      <c r="C81" s="13">
        <f t="shared" si="6"/>
        <v>800</v>
      </c>
      <c r="D81" s="10" t="s">
        <v>63</v>
      </c>
      <c r="E81" s="30" t="s">
        <v>105</v>
      </c>
      <c r="F81" s="20"/>
      <c r="G81" s="25"/>
      <c r="H81" s="21"/>
      <c r="I81" s="22">
        <v>11.8</v>
      </c>
      <c r="J81" s="22">
        <f t="shared" si="5"/>
        <v>0</v>
      </c>
    </row>
    <row r="82" spans="1:10" ht="47.25">
      <c r="A82" s="9" t="s">
        <v>179</v>
      </c>
      <c r="B82" s="15">
        <v>100</v>
      </c>
      <c r="C82" s="13">
        <f t="shared" si="6"/>
        <v>100</v>
      </c>
      <c r="D82" s="10" t="s">
        <v>44</v>
      </c>
      <c r="E82" s="30" t="s">
        <v>106</v>
      </c>
      <c r="F82" s="20"/>
      <c r="G82" s="25"/>
      <c r="H82" s="21"/>
      <c r="I82" s="22">
        <v>15</v>
      </c>
      <c r="J82" s="22">
        <f t="shared" si="5"/>
        <v>0</v>
      </c>
    </row>
    <row r="83" spans="1:10" ht="63">
      <c r="A83" s="9" t="s">
        <v>180</v>
      </c>
      <c r="B83" s="15">
        <v>100</v>
      </c>
      <c r="C83" s="13">
        <f t="shared" si="6"/>
        <v>100</v>
      </c>
      <c r="D83" s="10" t="s">
        <v>44</v>
      </c>
      <c r="E83" s="30" t="s">
        <v>107</v>
      </c>
      <c r="F83" s="19"/>
      <c r="G83" s="25"/>
      <c r="H83" s="21"/>
      <c r="I83" s="22">
        <v>13</v>
      </c>
      <c r="J83" s="22">
        <f t="shared" si="5"/>
        <v>0</v>
      </c>
    </row>
    <row r="84" spans="1:10" ht="19.5">
      <c r="A84" s="9" t="s">
        <v>181</v>
      </c>
      <c r="B84" s="15">
        <v>100</v>
      </c>
      <c r="C84" s="13">
        <f t="shared" si="6"/>
        <v>100</v>
      </c>
      <c r="D84" s="10" t="s">
        <v>44</v>
      </c>
      <c r="E84" s="30" t="s">
        <v>108</v>
      </c>
      <c r="F84" s="18"/>
      <c r="G84" s="25">
        <v>5.5</v>
      </c>
      <c r="H84" s="21">
        <f t="shared" ref="H84:H86" si="7">F84*G84</f>
        <v>0</v>
      </c>
      <c r="I84" s="22"/>
      <c r="J84" s="22">
        <f t="shared" si="5"/>
        <v>0</v>
      </c>
    </row>
    <row r="85" spans="1:10" ht="19.5">
      <c r="A85" s="9" t="s">
        <v>182</v>
      </c>
      <c r="B85" s="15">
        <v>100</v>
      </c>
      <c r="C85" s="13">
        <f t="shared" si="6"/>
        <v>100</v>
      </c>
      <c r="D85" s="10" t="s">
        <v>44</v>
      </c>
      <c r="E85" s="30" t="s">
        <v>109</v>
      </c>
      <c r="F85" s="17"/>
      <c r="G85" s="21">
        <v>0</v>
      </c>
      <c r="H85" s="21">
        <f t="shared" si="7"/>
        <v>0</v>
      </c>
      <c r="I85" s="22">
        <v>20</v>
      </c>
      <c r="J85" s="22">
        <f t="shared" si="5"/>
        <v>0</v>
      </c>
    </row>
    <row r="86" spans="1:10" ht="19.5">
      <c r="A86" s="9" t="s">
        <v>183</v>
      </c>
      <c r="B86" s="15">
        <v>100</v>
      </c>
      <c r="C86" s="13">
        <f t="shared" si="6"/>
        <v>100</v>
      </c>
      <c r="D86" s="10" t="s">
        <v>44</v>
      </c>
      <c r="E86" s="30" t="s">
        <v>110</v>
      </c>
      <c r="F86" s="18"/>
      <c r="G86" s="25">
        <v>70</v>
      </c>
      <c r="H86" s="21">
        <f t="shared" si="7"/>
        <v>0</v>
      </c>
      <c r="I86" s="22"/>
      <c r="J86" s="22">
        <f t="shared" si="5"/>
        <v>0</v>
      </c>
    </row>
    <row r="87" spans="1:10" ht="19.5">
      <c r="A87" s="9" t="s">
        <v>184</v>
      </c>
      <c r="B87" s="15">
        <v>400</v>
      </c>
      <c r="C87" s="13">
        <f t="shared" si="6"/>
        <v>400</v>
      </c>
      <c r="D87" s="10" t="s">
        <v>44</v>
      </c>
      <c r="E87" s="30" t="s">
        <v>111</v>
      </c>
      <c r="F87" s="18"/>
      <c r="G87" s="25"/>
      <c r="H87" s="21"/>
      <c r="I87" s="22">
        <v>3.6</v>
      </c>
      <c r="J87" s="22">
        <f t="shared" si="5"/>
        <v>0</v>
      </c>
    </row>
    <row r="88" spans="1:10" ht="19.5">
      <c r="A88" s="9" t="s">
        <v>185</v>
      </c>
      <c r="B88" s="15">
        <v>500</v>
      </c>
      <c r="C88" s="13">
        <f t="shared" si="6"/>
        <v>500</v>
      </c>
      <c r="D88" s="10" t="s">
        <v>39</v>
      </c>
      <c r="E88" s="30" t="s">
        <v>112</v>
      </c>
      <c r="F88" s="18"/>
      <c r="G88" s="25"/>
      <c r="H88" s="21"/>
      <c r="I88" s="22">
        <v>6.5</v>
      </c>
      <c r="J88" s="22">
        <f t="shared" si="5"/>
        <v>0</v>
      </c>
    </row>
    <row r="89" spans="1:10" ht="19.5">
      <c r="A89" s="9" t="s">
        <v>186</v>
      </c>
      <c r="B89" s="15">
        <v>400</v>
      </c>
      <c r="C89" s="13">
        <f t="shared" si="6"/>
        <v>400</v>
      </c>
      <c r="D89" s="10" t="s">
        <v>102</v>
      </c>
      <c r="E89" s="30" t="s">
        <v>113</v>
      </c>
      <c r="F89" s="18"/>
      <c r="G89" s="25"/>
      <c r="H89" s="21"/>
      <c r="I89" s="22">
        <v>2</v>
      </c>
      <c r="J89" s="22">
        <f t="shared" si="5"/>
        <v>0</v>
      </c>
    </row>
    <row r="90" spans="1:10" ht="19.5">
      <c r="A90" s="9" t="s">
        <v>187</v>
      </c>
      <c r="B90" s="15">
        <v>400</v>
      </c>
      <c r="C90" s="13">
        <f t="shared" si="6"/>
        <v>400</v>
      </c>
      <c r="D90" s="10" t="s">
        <v>63</v>
      </c>
      <c r="E90" s="30" t="s">
        <v>114</v>
      </c>
      <c r="F90" s="19"/>
      <c r="G90" s="25"/>
      <c r="H90" s="21"/>
      <c r="I90" s="22">
        <v>9</v>
      </c>
      <c r="J90" s="22">
        <f t="shared" si="5"/>
        <v>0</v>
      </c>
    </row>
    <row r="91" spans="1:10" ht="19.5">
      <c r="A91" s="9" t="s">
        <v>188</v>
      </c>
      <c r="B91" s="16">
        <v>400</v>
      </c>
      <c r="C91" s="13">
        <f t="shared" si="6"/>
        <v>400</v>
      </c>
      <c r="D91" s="10" t="s">
        <v>44</v>
      </c>
      <c r="E91" s="30" t="s">
        <v>204</v>
      </c>
      <c r="F91" s="18"/>
      <c r="G91" s="25">
        <v>0.7</v>
      </c>
      <c r="H91" s="21"/>
      <c r="I91" s="22"/>
      <c r="J91" s="22"/>
    </row>
    <row r="92" spans="1:10" ht="19.5">
      <c r="A92" s="9" t="s">
        <v>189</v>
      </c>
      <c r="B92" s="15">
        <v>500</v>
      </c>
      <c r="C92" s="13">
        <f t="shared" si="6"/>
        <v>500</v>
      </c>
      <c r="D92" s="10" t="s">
        <v>63</v>
      </c>
      <c r="E92" s="30" t="s">
        <v>116</v>
      </c>
      <c r="F92" s="18"/>
      <c r="G92" s="25"/>
      <c r="H92" s="21"/>
      <c r="I92" s="22">
        <v>2.5</v>
      </c>
      <c r="J92" s="22">
        <f t="shared" ref="J92:J99" si="8">F92*I92</f>
        <v>0</v>
      </c>
    </row>
    <row r="93" spans="1:10" ht="19.5">
      <c r="A93" s="9" t="s">
        <v>190</v>
      </c>
      <c r="B93" s="15">
        <v>100</v>
      </c>
      <c r="C93" s="13">
        <f t="shared" si="6"/>
        <v>100</v>
      </c>
      <c r="D93" s="10" t="s">
        <v>63</v>
      </c>
      <c r="E93" s="30" t="s">
        <v>117</v>
      </c>
      <c r="F93" s="18"/>
      <c r="G93" s="25"/>
      <c r="H93" s="21"/>
      <c r="I93" s="22"/>
      <c r="J93" s="22"/>
    </row>
    <row r="94" spans="1:10" ht="19.5">
      <c r="A94" s="9" t="s">
        <v>191</v>
      </c>
      <c r="B94" s="15">
        <v>500</v>
      </c>
      <c r="C94" s="13">
        <f t="shared" si="6"/>
        <v>500</v>
      </c>
      <c r="D94" s="10" t="s">
        <v>44</v>
      </c>
      <c r="E94" s="30" t="s">
        <v>118</v>
      </c>
      <c r="F94" s="18"/>
      <c r="G94" s="25"/>
      <c r="H94" s="21"/>
      <c r="I94" s="22">
        <v>4</v>
      </c>
      <c r="J94" s="22">
        <f t="shared" si="8"/>
        <v>0</v>
      </c>
    </row>
    <row r="95" spans="1:10" ht="19.5">
      <c r="A95" s="9" t="s">
        <v>206</v>
      </c>
      <c r="B95" s="15">
        <v>100</v>
      </c>
      <c r="C95" s="13">
        <f t="shared" si="6"/>
        <v>100</v>
      </c>
      <c r="D95" s="10" t="s">
        <v>102</v>
      </c>
      <c r="E95" s="30" t="s">
        <v>119</v>
      </c>
      <c r="F95" s="18"/>
      <c r="G95" s="25">
        <v>3.9</v>
      </c>
      <c r="H95" s="21">
        <f t="shared" ref="H95:H99" si="9">F95*G95</f>
        <v>0</v>
      </c>
      <c r="I95" s="22"/>
      <c r="J95" s="22">
        <f t="shared" si="8"/>
        <v>0</v>
      </c>
    </row>
    <row r="96" spans="1:10" ht="31.5">
      <c r="A96" s="9" t="s">
        <v>207</v>
      </c>
      <c r="B96" s="16">
        <v>200</v>
      </c>
      <c r="C96" s="13">
        <f t="shared" si="6"/>
        <v>200</v>
      </c>
      <c r="D96" s="10" t="s">
        <v>120</v>
      </c>
      <c r="E96" s="30" t="s">
        <v>121</v>
      </c>
      <c r="F96" s="18"/>
      <c r="G96" s="25">
        <v>5.9</v>
      </c>
      <c r="H96" s="21">
        <f t="shared" si="9"/>
        <v>0</v>
      </c>
      <c r="I96" s="22"/>
      <c r="J96" s="22">
        <f t="shared" si="8"/>
        <v>0</v>
      </c>
    </row>
    <row r="97" spans="1:10" ht="19.5">
      <c r="A97" s="9" t="s">
        <v>208</v>
      </c>
      <c r="B97" s="15">
        <v>400</v>
      </c>
      <c r="C97" s="13">
        <f t="shared" si="6"/>
        <v>400</v>
      </c>
      <c r="D97" s="10" t="s">
        <v>44</v>
      </c>
      <c r="E97" s="30" t="s">
        <v>122</v>
      </c>
      <c r="F97" s="20"/>
      <c r="G97" s="25">
        <v>7</v>
      </c>
      <c r="H97" s="21">
        <f t="shared" si="9"/>
        <v>0</v>
      </c>
      <c r="I97" s="22"/>
      <c r="J97" s="22">
        <f t="shared" si="8"/>
        <v>0</v>
      </c>
    </row>
    <row r="98" spans="1:10" ht="19.5">
      <c r="A98" s="9" t="s">
        <v>205</v>
      </c>
      <c r="B98" s="15">
        <v>200</v>
      </c>
      <c r="C98" s="13">
        <f t="shared" si="6"/>
        <v>200</v>
      </c>
      <c r="D98" s="10" t="s">
        <v>44</v>
      </c>
      <c r="E98" s="30" t="s">
        <v>123</v>
      </c>
      <c r="F98" s="20"/>
      <c r="G98" s="25">
        <v>4</v>
      </c>
      <c r="H98" s="21">
        <f t="shared" si="9"/>
        <v>0</v>
      </c>
      <c r="I98" s="22"/>
      <c r="J98" s="22">
        <f t="shared" si="8"/>
        <v>0</v>
      </c>
    </row>
    <row r="99" spans="1:10" ht="19.5">
      <c r="A99" s="9" t="s">
        <v>209</v>
      </c>
      <c r="B99" s="15">
        <v>100</v>
      </c>
      <c r="C99" s="13">
        <f t="shared" si="6"/>
        <v>100</v>
      </c>
      <c r="D99" s="10" t="s">
        <v>44</v>
      </c>
      <c r="E99" s="30" t="s">
        <v>124</v>
      </c>
      <c r="F99" s="20"/>
      <c r="G99" s="25">
        <v>6.99</v>
      </c>
      <c r="H99" s="21">
        <f t="shared" si="9"/>
        <v>0</v>
      </c>
      <c r="I99" s="22"/>
      <c r="J99" s="22">
        <f t="shared" si="8"/>
        <v>0</v>
      </c>
    </row>
    <row r="100" spans="1:10" ht="19.5">
      <c r="A100" s="43">
        <v>0</v>
      </c>
      <c r="B100" s="43"/>
      <c r="C100" s="43"/>
      <c r="D100" s="43"/>
      <c r="E100" s="43"/>
      <c r="F100" s="44"/>
      <c r="G100" s="45">
        <f>SUM(H9:H99)</f>
        <v>0</v>
      </c>
      <c r="H100" s="46"/>
      <c r="I100" s="47">
        <f>SUM(J9:J99)</f>
        <v>0</v>
      </c>
      <c r="J100" s="48"/>
    </row>
  </sheetData>
  <mergeCells count="15">
    <mergeCell ref="A100:F100"/>
    <mergeCell ref="G100:H100"/>
    <mergeCell ref="I100:J100"/>
    <mergeCell ref="A2:J2"/>
    <mergeCell ref="A3:J3"/>
    <mergeCell ref="A4:J4"/>
    <mergeCell ref="A5:J5"/>
    <mergeCell ref="A7:A8"/>
    <mergeCell ref="B7:B8"/>
    <mergeCell ref="C7:C8"/>
    <mergeCell ref="D7:D8"/>
    <mergeCell ref="E7:E8"/>
    <mergeCell ref="F7:F8"/>
    <mergeCell ref="G7:H7"/>
    <mergeCell ref="I7:J7"/>
  </mergeCells>
  <conditionalFormatting sqref="C9:C99">
    <cfRule type="cellIs" dxfId="0" priority="1" operator="lessThan">
      <formula>1</formula>
    </cfRule>
  </conditionalFormatting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88"/>
  <sheetViews>
    <sheetView tabSelected="1" view="pageBreakPreview" zoomScaleNormal="85" zoomScaleSheetLayoutView="100" workbookViewId="0">
      <selection activeCell="D12" sqref="D12"/>
    </sheetView>
  </sheetViews>
  <sheetFormatPr defaultRowHeight="15"/>
  <cols>
    <col min="1" max="1" width="9.140625" style="33"/>
    <col min="2" max="2" width="12.7109375" style="33" customWidth="1"/>
    <col min="3" max="3" width="9.140625" style="33"/>
    <col min="4" max="4" width="66.5703125" style="33" customWidth="1"/>
    <col min="5" max="5" width="11.140625" style="33" customWidth="1"/>
    <col min="6" max="6" width="11.7109375" style="33" customWidth="1"/>
    <col min="7" max="16384" width="9.140625" style="33"/>
  </cols>
  <sheetData>
    <row r="1" spans="1:6" ht="15.75">
      <c r="A1" s="79"/>
      <c r="B1" s="80"/>
      <c r="C1" s="80"/>
      <c r="D1" s="80"/>
      <c r="E1" s="80"/>
      <c r="F1" s="81"/>
    </row>
    <row r="2" spans="1:6" ht="15" customHeight="1">
      <c r="A2" s="82" t="s">
        <v>230</v>
      </c>
      <c r="B2" s="82"/>
      <c r="C2" s="82"/>
      <c r="D2" s="82"/>
      <c r="E2" s="82"/>
      <c r="F2" s="82"/>
    </row>
    <row r="3" spans="1:6" ht="15" customHeight="1">
      <c r="A3" s="82" t="s">
        <v>231</v>
      </c>
      <c r="B3" s="82"/>
      <c r="C3" s="82"/>
      <c r="D3" s="82"/>
      <c r="E3" s="82"/>
      <c r="F3" s="82"/>
    </row>
    <row r="4" spans="1:6" ht="15" customHeight="1">
      <c r="A4" s="82"/>
      <c r="B4" s="82"/>
      <c r="C4" s="82"/>
      <c r="D4" s="82"/>
      <c r="E4" s="82"/>
      <c r="F4" s="82"/>
    </row>
    <row r="5" spans="1:6" ht="15" customHeight="1">
      <c r="A5" s="82" t="s">
        <v>229</v>
      </c>
      <c r="B5" s="82"/>
      <c r="C5" s="82"/>
      <c r="D5" s="82"/>
      <c r="E5" s="82"/>
      <c r="F5" s="82"/>
    </row>
    <row r="6" spans="1:6" ht="15.75">
      <c r="A6" s="74"/>
      <c r="B6" s="75"/>
      <c r="C6" s="75"/>
      <c r="D6" s="75"/>
      <c r="E6" s="75"/>
      <c r="F6" s="76"/>
    </row>
    <row r="7" spans="1:6" ht="19.5" customHeight="1">
      <c r="A7" s="78" t="s">
        <v>3</v>
      </c>
      <c r="B7" s="78" t="s">
        <v>4</v>
      </c>
      <c r="C7" s="78" t="s">
        <v>6</v>
      </c>
      <c r="D7" s="78" t="s">
        <v>7</v>
      </c>
      <c r="E7" s="77" t="s">
        <v>228</v>
      </c>
      <c r="F7" s="77"/>
    </row>
    <row r="8" spans="1:6" ht="15.75">
      <c r="A8" s="78"/>
      <c r="B8" s="78"/>
      <c r="C8" s="78"/>
      <c r="D8" s="78"/>
      <c r="E8" s="34" t="s">
        <v>12</v>
      </c>
      <c r="F8" s="34" t="s">
        <v>13</v>
      </c>
    </row>
    <row r="9" spans="1:6" ht="18" customHeight="1">
      <c r="A9" s="37" t="s">
        <v>14</v>
      </c>
      <c r="B9" s="38">
        <v>1680</v>
      </c>
      <c r="C9" s="39" t="s">
        <v>15</v>
      </c>
      <c r="D9" s="40" t="s">
        <v>33</v>
      </c>
      <c r="E9" s="36">
        <v>2.61</v>
      </c>
      <c r="F9" s="36">
        <f>B9*E9</f>
        <v>4384.8</v>
      </c>
    </row>
    <row r="10" spans="1:6" ht="18" customHeight="1">
      <c r="A10" s="37" t="s">
        <v>16</v>
      </c>
      <c r="B10" s="38">
        <v>140</v>
      </c>
      <c r="C10" s="39" t="s">
        <v>15</v>
      </c>
      <c r="D10" s="40" t="s">
        <v>34</v>
      </c>
      <c r="E10" s="36">
        <v>6.92</v>
      </c>
      <c r="F10" s="36">
        <f t="shared" ref="F10:F73" si="0">B10*E10</f>
        <v>968.8</v>
      </c>
    </row>
    <row r="11" spans="1:6" ht="18" customHeight="1">
      <c r="A11" s="37" t="s">
        <v>17</v>
      </c>
      <c r="B11" s="38">
        <v>560</v>
      </c>
      <c r="C11" s="39" t="s">
        <v>35</v>
      </c>
      <c r="D11" s="40" t="s">
        <v>36</v>
      </c>
      <c r="E11" s="36">
        <v>1.93</v>
      </c>
      <c r="F11" s="36">
        <f t="shared" si="0"/>
        <v>1080.8</v>
      </c>
    </row>
    <row r="12" spans="1:6" ht="18" customHeight="1">
      <c r="A12" s="37" t="s">
        <v>18</v>
      </c>
      <c r="B12" s="38">
        <v>56</v>
      </c>
      <c r="C12" s="39" t="s">
        <v>15</v>
      </c>
      <c r="D12" s="40" t="s">
        <v>37</v>
      </c>
      <c r="E12" s="36">
        <v>0.9</v>
      </c>
      <c r="F12" s="36">
        <f t="shared" si="0"/>
        <v>50.4</v>
      </c>
    </row>
    <row r="13" spans="1:6" ht="18" customHeight="1">
      <c r="A13" s="37" t="s">
        <v>19</v>
      </c>
      <c r="B13" s="38">
        <v>340</v>
      </c>
      <c r="C13" s="39" t="s">
        <v>15</v>
      </c>
      <c r="D13" s="40" t="s">
        <v>38</v>
      </c>
      <c r="E13" s="36">
        <v>2.57</v>
      </c>
      <c r="F13" s="36">
        <f t="shared" si="0"/>
        <v>873.8</v>
      </c>
    </row>
    <row r="14" spans="1:6" ht="18" customHeight="1">
      <c r="A14" s="37" t="s">
        <v>20</v>
      </c>
      <c r="B14" s="38">
        <v>60</v>
      </c>
      <c r="C14" s="39" t="s">
        <v>39</v>
      </c>
      <c r="D14" s="40" t="s">
        <v>40</v>
      </c>
      <c r="E14" s="36">
        <v>6.26</v>
      </c>
      <c r="F14" s="36">
        <f t="shared" si="0"/>
        <v>375.59999999999997</v>
      </c>
    </row>
    <row r="15" spans="1:6" ht="18" customHeight="1">
      <c r="A15" s="37" t="s">
        <v>21</v>
      </c>
      <c r="B15" s="38">
        <v>60</v>
      </c>
      <c r="C15" s="39" t="s">
        <v>39</v>
      </c>
      <c r="D15" s="40" t="s">
        <v>211</v>
      </c>
      <c r="E15" s="36">
        <v>2.85</v>
      </c>
      <c r="F15" s="36">
        <f t="shared" si="0"/>
        <v>171</v>
      </c>
    </row>
    <row r="16" spans="1:6" ht="18" customHeight="1">
      <c r="A16" s="37" t="s">
        <v>22</v>
      </c>
      <c r="B16" s="38">
        <v>280</v>
      </c>
      <c r="C16" s="39" t="s">
        <v>35</v>
      </c>
      <c r="D16" s="40" t="s">
        <v>42</v>
      </c>
      <c r="E16" s="36">
        <v>1.34</v>
      </c>
      <c r="F16" s="36">
        <f t="shared" si="0"/>
        <v>375.20000000000005</v>
      </c>
    </row>
    <row r="17" spans="1:6" ht="18" customHeight="1">
      <c r="A17" s="37" t="s">
        <v>23</v>
      </c>
      <c r="B17" s="38">
        <v>280</v>
      </c>
      <c r="C17" s="39" t="s">
        <v>35</v>
      </c>
      <c r="D17" s="40" t="s">
        <v>43</v>
      </c>
      <c r="E17" s="36">
        <v>2.36</v>
      </c>
      <c r="F17" s="36">
        <f t="shared" si="0"/>
        <v>660.8</v>
      </c>
    </row>
    <row r="18" spans="1:6" ht="18" customHeight="1">
      <c r="A18" s="37" t="s">
        <v>24</v>
      </c>
      <c r="B18" s="38">
        <v>140</v>
      </c>
      <c r="C18" s="39" t="s">
        <v>44</v>
      </c>
      <c r="D18" s="40" t="s">
        <v>45</v>
      </c>
      <c r="E18" s="36">
        <v>3.57</v>
      </c>
      <c r="F18" s="36">
        <f t="shared" si="0"/>
        <v>499.79999999999995</v>
      </c>
    </row>
    <row r="19" spans="1:6" ht="18" customHeight="1">
      <c r="A19" s="37" t="s">
        <v>25</v>
      </c>
      <c r="B19" s="38">
        <v>60</v>
      </c>
      <c r="C19" s="39" t="s">
        <v>46</v>
      </c>
      <c r="D19" s="40" t="s">
        <v>47</v>
      </c>
      <c r="E19" s="36">
        <v>1.92</v>
      </c>
      <c r="F19" s="36">
        <f t="shared" si="0"/>
        <v>115.19999999999999</v>
      </c>
    </row>
    <row r="20" spans="1:6" ht="18" customHeight="1">
      <c r="A20" s="37" t="s">
        <v>26</v>
      </c>
      <c r="B20" s="38">
        <v>420</v>
      </c>
      <c r="C20" s="39" t="s">
        <v>39</v>
      </c>
      <c r="D20" s="40" t="s">
        <v>48</v>
      </c>
      <c r="E20" s="36">
        <v>21.6</v>
      </c>
      <c r="F20" s="36">
        <f t="shared" si="0"/>
        <v>9072</v>
      </c>
    </row>
    <row r="21" spans="1:6" ht="18" customHeight="1">
      <c r="A21" s="37" t="s">
        <v>28</v>
      </c>
      <c r="B21" s="38">
        <v>168</v>
      </c>
      <c r="C21" s="39" t="s">
        <v>35</v>
      </c>
      <c r="D21" s="40" t="s">
        <v>27</v>
      </c>
      <c r="E21" s="41">
        <v>3.47</v>
      </c>
      <c r="F21" s="36">
        <f t="shared" si="0"/>
        <v>582.96</v>
      </c>
    </row>
    <row r="22" spans="1:6" ht="18" customHeight="1">
      <c r="A22" s="37" t="s">
        <v>29</v>
      </c>
      <c r="B22" s="38">
        <v>120</v>
      </c>
      <c r="C22" s="39" t="s">
        <v>35</v>
      </c>
      <c r="D22" s="40" t="s">
        <v>212</v>
      </c>
      <c r="E22" s="36">
        <v>2.91</v>
      </c>
      <c r="F22" s="36">
        <f t="shared" si="0"/>
        <v>349.20000000000005</v>
      </c>
    </row>
    <row r="23" spans="1:6" ht="18" customHeight="1">
      <c r="A23" s="37" t="s">
        <v>30</v>
      </c>
      <c r="B23" s="38">
        <v>56</v>
      </c>
      <c r="C23" s="39" t="s">
        <v>39</v>
      </c>
      <c r="D23" s="40" t="s">
        <v>50</v>
      </c>
      <c r="E23" s="36">
        <v>4.32</v>
      </c>
      <c r="F23" s="36">
        <f t="shared" si="0"/>
        <v>241.92000000000002</v>
      </c>
    </row>
    <row r="24" spans="1:6" ht="18" customHeight="1">
      <c r="A24" s="37" t="s">
        <v>31</v>
      </c>
      <c r="B24" s="38">
        <v>224</v>
      </c>
      <c r="C24" s="39" t="s">
        <v>44</v>
      </c>
      <c r="D24" s="40" t="s">
        <v>51</v>
      </c>
      <c r="E24" s="36">
        <v>2.5099999999999998</v>
      </c>
      <c r="F24" s="36">
        <f t="shared" si="0"/>
        <v>562.24</v>
      </c>
    </row>
    <row r="25" spans="1:6" ht="18" customHeight="1">
      <c r="A25" s="37" t="s">
        <v>32</v>
      </c>
      <c r="B25" s="38">
        <v>224</v>
      </c>
      <c r="C25" s="39" t="s">
        <v>44</v>
      </c>
      <c r="D25" s="40" t="s">
        <v>52</v>
      </c>
      <c r="E25" s="36">
        <v>4.9000000000000004</v>
      </c>
      <c r="F25" s="36">
        <f t="shared" si="0"/>
        <v>1097.6000000000001</v>
      </c>
    </row>
    <row r="26" spans="1:6" ht="18" customHeight="1">
      <c r="A26" s="37" t="s">
        <v>126</v>
      </c>
      <c r="B26" s="38">
        <v>224</v>
      </c>
      <c r="C26" s="39" t="s">
        <v>44</v>
      </c>
      <c r="D26" s="40" t="s">
        <v>53</v>
      </c>
      <c r="E26" s="36">
        <v>6.48</v>
      </c>
      <c r="F26" s="36">
        <f t="shared" si="0"/>
        <v>1451.52</v>
      </c>
    </row>
    <row r="27" spans="1:6" ht="18" customHeight="1">
      <c r="A27" s="37" t="s">
        <v>127</v>
      </c>
      <c r="B27" s="38">
        <v>448</v>
      </c>
      <c r="C27" s="39" t="s">
        <v>54</v>
      </c>
      <c r="D27" s="40" t="s">
        <v>55</v>
      </c>
      <c r="E27" s="36">
        <v>4.8899999999999997</v>
      </c>
      <c r="F27" s="36">
        <f t="shared" si="0"/>
        <v>2190.7199999999998</v>
      </c>
    </row>
    <row r="28" spans="1:6" ht="18" customHeight="1">
      <c r="A28" s="37" t="s">
        <v>128</v>
      </c>
      <c r="B28" s="38">
        <v>445</v>
      </c>
      <c r="C28" s="39" t="s">
        <v>39</v>
      </c>
      <c r="D28" s="40" t="s">
        <v>56</v>
      </c>
      <c r="E28" s="36">
        <v>18.25</v>
      </c>
      <c r="F28" s="36">
        <f t="shared" si="0"/>
        <v>8121.25</v>
      </c>
    </row>
    <row r="29" spans="1:6" ht="18" customHeight="1">
      <c r="A29" s="37" t="s">
        <v>129</v>
      </c>
      <c r="B29" s="38">
        <v>448</v>
      </c>
      <c r="C29" s="39" t="s">
        <v>39</v>
      </c>
      <c r="D29" s="40" t="s">
        <v>57</v>
      </c>
      <c r="E29" s="36">
        <v>9.76</v>
      </c>
      <c r="F29" s="36">
        <f t="shared" si="0"/>
        <v>4372.4799999999996</v>
      </c>
    </row>
    <row r="30" spans="1:6" ht="18" customHeight="1">
      <c r="A30" s="37" t="s">
        <v>130</v>
      </c>
      <c r="B30" s="38">
        <v>448</v>
      </c>
      <c r="C30" s="39" t="s">
        <v>39</v>
      </c>
      <c r="D30" s="40" t="s">
        <v>60</v>
      </c>
      <c r="E30" s="36">
        <v>17.96</v>
      </c>
      <c r="F30" s="36">
        <f t="shared" si="0"/>
        <v>8046.08</v>
      </c>
    </row>
    <row r="31" spans="1:6" ht="18" customHeight="1">
      <c r="A31" s="37" t="s">
        <v>131</v>
      </c>
      <c r="B31" s="38">
        <v>448</v>
      </c>
      <c r="C31" s="39" t="s">
        <v>39</v>
      </c>
      <c r="D31" s="40" t="s">
        <v>59</v>
      </c>
      <c r="E31" s="36">
        <v>15.26</v>
      </c>
      <c r="F31" s="36">
        <f t="shared" si="0"/>
        <v>6836.48</v>
      </c>
    </row>
    <row r="32" spans="1:6" ht="18" customHeight="1">
      <c r="A32" s="37" t="s">
        <v>132</v>
      </c>
      <c r="B32" s="38">
        <v>28</v>
      </c>
      <c r="C32" s="39" t="s">
        <v>15</v>
      </c>
      <c r="D32" s="40" t="s">
        <v>196</v>
      </c>
      <c r="E32" s="36">
        <v>11.62</v>
      </c>
      <c r="F32" s="36">
        <f t="shared" si="0"/>
        <v>325.35999999999996</v>
      </c>
    </row>
    <row r="33" spans="1:6" ht="18" customHeight="1">
      <c r="A33" s="37" t="s">
        <v>133</v>
      </c>
      <c r="B33" s="38">
        <v>28</v>
      </c>
      <c r="C33" s="39" t="s">
        <v>15</v>
      </c>
      <c r="D33" s="40" t="s">
        <v>213</v>
      </c>
      <c r="E33" s="36">
        <v>26.64</v>
      </c>
      <c r="F33" s="36">
        <f t="shared" si="0"/>
        <v>745.92000000000007</v>
      </c>
    </row>
    <row r="34" spans="1:6" ht="18" customHeight="1">
      <c r="A34" s="37" t="s">
        <v>134</v>
      </c>
      <c r="B34" s="38">
        <v>280</v>
      </c>
      <c r="C34" s="39" t="s">
        <v>39</v>
      </c>
      <c r="D34" s="40" t="s">
        <v>62</v>
      </c>
      <c r="E34" s="36">
        <v>7.66</v>
      </c>
      <c r="F34" s="36">
        <f t="shared" si="0"/>
        <v>2144.8000000000002</v>
      </c>
    </row>
    <row r="35" spans="1:6" ht="18" customHeight="1">
      <c r="A35" s="37" t="s">
        <v>135</v>
      </c>
      <c r="B35" s="38">
        <v>70</v>
      </c>
      <c r="C35" s="39" t="s">
        <v>63</v>
      </c>
      <c r="D35" s="40" t="s">
        <v>64</v>
      </c>
      <c r="E35" s="36">
        <v>9.34</v>
      </c>
      <c r="F35" s="36">
        <f t="shared" si="0"/>
        <v>653.79999999999995</v>
      </c>
    </row>
    <row r="36" spans="1:6" ht="18" customHeight="1">
      <c r="A36" s="37" t="s">
        <v>136</v>
      </c>
      <c r="B36" s="38">
        <v>112</v>
      </c>
      <c r="C36" s="39" t="s">
        <v>39</v>
      </c>
      <c r="D36" s="40" t="s">
        <v>66</v>
      </c>
      <c r="E36" s="36">
        <v>2.99</v>
      </c>
      <c r="F36" s="36">
        <f t="shared" si="0"/>
        <v>334.88</v>
      </c>
    </row>
    <row r="37" spans="1:6" ht="18" customHeight="1">
      <c r="A37" s="37" t="s">
        <v>137</v>
      </c>
      <c r="B37" s="38">
        <v>280</v>
      </c>
      <c r="C37" s="39" t="s">
        <v>199</v>
      </c>
      <c r="D37" s="40" t="s">
        <v>200</v>
      </c>
      <c r="E37" s="36">
        <v>4.55</v>
      </c>
      <c r="F37" s="36">
        <f t="shared" si="0"/>
        <v>1274</v>
      </c>
    </row>
    <row r="38" spans="1:6" ht="18" customHeight="1">
      <c r="A38" s="37" t="s">
        <v>138</v>
      </c>
      <c r="B38" s="38">
        <v>70</v>
      </c>
      <c r="C38" s="39" t="s">
        <v>63</v>
      </c>
      <c r="D38" s="40" t="s">
        <v>65</v>
      </c>
      <c r="E38" s="36">
        <v>6.56</v>
      </c>
      <c r="F38" s="36">
        <f t="shared" si="0"/>
        <v>459.2</v>
      </c>
    </row>
    <row r="39" spans="1:6" ht="18" customHeight="1">
      <c r="A39" s="37" t="s">
        <v>139</v>
      </c>
      <c r="B39" s="38">
        <v>140</v>
      </c>
      <c r="C39" s="39" t="s">
        <v>63</v>
      </c>
      <c r="D39" s="40" t="s">
        <v>67</v>
      </c>
      <c r="E39" s="36">
        <v>1.49</v>
      </c>
      <c r="F39" s="36">
        <f t="shared" si="0"/>
        <v>208.6</v>
      </c>
    </row>
    <row r="40" spans="1:6" ht="18" customHeight="1">
      <c r="A40" s="37" t="s">
        <v>140</v>
      </c>
      <c r="B40" s="38">
        <v>140</v>
      </c>
      <c r="C40" s="39" t="s">
        <v>39</v>
      </c>
      <c r="D40" s="40" t="s">
        <v>68</v>
      </c>
      <c r="E40" s="36">
        <v>10.72</v>
      </c>
      <c r="F40" s="36">
        <f t="shared" si="0"/>
        <v>1500.8000000000002</v>
      </c>
    </row>
    <row r="41" spans="1:6" ht="18" customHeight="1">
      <c r="A41" s="37" t="s">
        <v>141</v>
      </c>
      <c r="B41" s="38">
        <v>140</v>
      </c>
      <c r="C41" s="39" t="s">
        <v>63</v>
      </c>
      <c r="D41" s="40" t="s">
        <v>69</v>
      </c>
      <c r="E41" s="36">
        <v>7.6</v>
      </c>
      <c r="F41" s="36">
        <f t="shared" si="0"/>
        <v>1064</v>
      </c>
    </row>
    <row r="42" spans="1:6" ht="18" customHeight="1">
      <c r="A42" s="37" t="s">
        <v>142</v>
      </c>
      <c r="B42" s="38">
        <v>280</v>
      </c>
      <c r="C42" s="39" t="s">
        <v>39</v>
      </c>
      <c r="D42" s="40" t="s">
        <v>214</v>
      </c>
      <c r="E42" s="36">
        <v>2.02</v>
      </c>
      <c r="F42" s="36">
        <f t="shared" si="0"/>
        <v>565.6</v>
      </c>
    </row>
    <row r="43" spans="1:6" ht="18" customHeight="1">
      <c r="A43" s="37" t="s">
        <v>143</v>
      </c>
      <c r="B43" s="38">
        <v>140</v>
      </c>
      <c r="C43" s="39" t="s">
        <v>63</v>
      </c>
      <c r="D43" s="40" t="s">
        <v>71</v>
      </c>
      <c r="E43" s="36">
        <v>2.88</v>
      </c>
      <c r="F43" s="36">
        <f t="shared" si="0"/>
        <v>403.2</v>
      </c>
    </row>
    <row r="44" spans="1:6" ht="18" customHeight="1">
      <c r="A44" s="37" t="s">
        <v>144</v>
      </c>
      <c r="B44" s="38">
        <v>140</v>
      </c>
      <c r="C44" s="39" t="s">
        <v>63</v>
      </c>
      <c r="D44" s="40" t="s">
        <v>73</v>
      </c>
      <c r="E44" s="36">
        <v>2.16</v>
      </c>
      <c r="F44" s="36">
        <f t="shared" si="0"/>
        <v>302.40000000000003</v>
      </c>
    </row>
    <row r="45" spans="1:6" ht="18" customHeight="1">
      <c r="A45" s="37" t="s">
        <v>145</v>
      </c>
      <c r="B45" s="38">
        <v>140</v>
      </c>
      <c r="C45" s="39" t="s">
        <v>63</v>
      </c>
      <c r="D45" s="40" t="s">
        <v>74</v>
      </c>
      <c r="E45" s="36">
        <v>4.3899999999999997</v>
      </c>
      <c r="F45" s="36">
        <f t="shared" si="0"/>
        <v>614.59999999999991</v>
      </c>
    </row>
    <row r="46" spans="1:6" ht="18" customHeight="1">
      <c r="A46" s="37" t="s">
        <v>146</v>
      </c>
      <c r="B46" s="38">
        <v>140</v>
      </c>
      <c r="C46" s="39" t="s">
        <v>39</v>
      </c>
      <c r="D46" s="40" t="s">
        <v>75</v>
      </c>
      <c r="E46" s="36">
        <v>3.51</v>
      </c>
      <c r="F46" s="36">
        <f t="shared" si="0"/>
        <v>491.4</v>
      </c>
    </row>
    <row r="47" spans="1:6" ht="18" customHeight="1">
      <c r="A47" s="37" t="s">
        <v>147</v>
      </c>
      <c r="B47" s="38">
        <v>140</v>
      </c>
      <c r="C47" s="39" t="s">
        <v>63</v>
      </c>
      <c r="D47" s="40" t="s">
        <v>76</v>
      </c>
      <c r="E47" s="36">
        <v>0.93</v>
      </c>
      <c r="F47" s="36">
        <f t="shared" si="0"/>
        <v>130.20000000000002</v>
      </c>
    </row>
    <row r="48" spans="1:6" ht="18" customHeight="1">
      <c r="A48" s="37" t="s">
        <v>148</v>
      </c>
      <c r="B48" s="38">
        <v>140</v>
      </c>
      <c r="C48" s="39" t="s">
        <v>39</v>
      </c>
      <c r="D48" s="40" t="s">
        <v>77</v>
      </c>
      <c r="E48" s="36">
        <v>8.2799999999999994</v>
      </c>
      <c r="F48" s="36">
        <f t="shared" si="0"/>
        <v>1159.1999999999998</v>
      </c>
    </row>
    <row r="49" spans="1:6" ht="18" customHeight="1">
      <c r="A49" s="37" t="s">
        <v>149</v>
      </c>
      <c r="B49" s="38">
        <v>140</v>
      </c>
      <c r="C49" s="39" t="s">
        <v>63</v>
      </c>
      <c r="D49" s="40" t="s">
        <v>78</v>
      </c>
      <c r="E49" s="36">
        <v>10.82</v>
      </c>
      <c r="F49" s="36">
        <f t="shared" si="0"/>
        <v>1514.8</v>
      </c>
    </row>
    <row r="50" spans="1:6" ht="18" customHeight="1">
      <c r="A50" s="37" t="s">
        <v>150</v>
      </c>
      <c r="B50" s="38">
        <v>24</v>
      </c>
      <c r="C50" s="39" t="s">
        <v>63</v>
      </c>
      <c r="D50" s="40" t="s">
        <v>201</v>
      </c>
      <c r="E50" s="36">
        <v>9.74</v>
      </c>
      <c r="F50" s="36">
        <f t="shared" si="0"/>
        <v>233.76</v>
      </c>
    </row>
    <row r="51" spans="1:6" ht="18" customHeight="1">
      <c r="A51" s="37" t="s">
        <v>151</v>
      </c>
      <c r="B51" s="38">
        <v>24</v>
      </c>
      <c r="C51" s="39" t="s">
        <v>63</v>
      </c>
      <c r="D51" s="40" t="s">
        <v>202</v>
      </c>
      <c r="E51" s="36">
        <v>7.6</v>
      </c>
      <c r="F51" s="36">
        <f t="shared" si="0"/>
        <v>182.39999999999998</v>
      </c>
    </row>
    <row r="52" spans="1:6" ht="18" customHeight="1">
      <c r="A52" s="37" t="s">
        <v>152</v>
      </c>
      <c r="B52" s="38">
        <v>24</v>
      </c>
      <c r="C52" s="39" t="s">
        <v>63</v>
      </c>
      <c r="D52" s="40" t="s">
        <v>203</v>
      </c>
      <c r="E52" s="36">
        <v>13.55</v>
      </c>
      <c r="F52" s="36">
        <f t="shared" si="0"/>
        <v>325.20000000000005</v>
      </c>
    </row>
    <row r="53" spans="1:6" ht="18" customHeight="1">
      <c r="A53" s="37" t="s">
        <v>153</v>
      </c>
      <c r="B53" s="38">
        <v>28</v>
      </c>
      <c r="C53" s="42" t="s">
        <v>54</v>
      </c>
      <c r="D53" s="40" t="s">
        <v>215</v>
      </c>
      <c r="E53" s="36">
        <v>2.82</v>
      </c>
      <c r="F53" s="36">
        <f t="shared" si="0"/>
        <v>78.959999999999994</v>
      </c>
    </row>
    <row r="54" spans="1:6" ht="18" customHeight="1">
      <c r="A54" s="37" t="s">
        <v>154</v>
      </c>
      <c r="B54" s="38">
        <v>28</v>
      </c>
      <c r="C54" s="42" t="s">
        <v>54</v>
      </c>
      <c r="D54" s="40" t="s">
        <v>216</v>
      </c>
      <c r="E54" s="36">
        <v>3.6</v>
      </c>
      <c r="F54" s="36">
        <f t="shared" si="0"/>
        <v>100.8</v>
      </c>
    </row>
    <row r="55" spans="1:6" ht="18" customHeight="1">
      <c r="A55" s="37" t="s">
        <v>155</v>
      </c>
      <c r="B55" s="38">
        <v>28</v>
      </c>
      <c r="C55" s="42" t="s">
        <v>54</v>
      </c>
      <c r="D55" s="40" t="s">
        <v>217</v>
      </c>
      <c r="E55" s="36">
        <v>24.5</v>
      </c>
      <c r="F55" s="36">
        <f t="shared" si="0"/>
        <v>686</v>
      </c>
    </row>
    <row r="56" spans="1:6" ht="18" customHeight="1">
      <c r="A56" s="37" t="s">
        <v>156</v>
      </c>
      <c r="B56" s="38">
        <v>140</v>
      </c>
      <c r="C56" s="39" t="s">
        <v>63</v>
      </c>
      <c r="D56" s="40" t="s">
        <v>80</v>
      </c>
      <c r="E56" s="36">
        <v>2.0099999999999998</v>
      </c>
      <c r="F56" s="36">
        <f t="shared" si="0"/>
        <v>281.39999999999998</v>
      </c>
    </row>
    <row r="57" spans="1:6" ht="18" customHeight="1">
      <c r="A57" s="37" t="s">
        <v>157</v>
      </c>
      <c r="B57" s="38">
        <v>140</v>
      </c>
      <c r="C57" s="39" t="s">
        <v>15</v>
      </c>
      <c r="D57" s="40" t="s">
        <v>81</v>
      </c>
      <c r="E57" s="36">
        <v>8.74</v>
      </c>
      <c r="F57" s="36">
        <f t="shared" si="0"/>
        <v>1223.6000000000001</v>
      </c>
    </row>
    <row r="58" spans="1:6" ht="18" customHeight="1">
      <c r="A58" s="37" t="s">
        <v>158</v>
      </c>
      <c r="B58" s="38">
        <v>140</v>
      </c>
      <c r="C58" s="39" t="s">
        <v>82</v>
      </c>
      <c r="D58" s="40" t="s">
        <v>83</v>
      </c>
      <c r="E58" s="36">
        <v>3.05</v>
      </c>
      <c r="F58" s="36">
        <f t="shared" si="0"/>
        <v>427</v>
      </c>
    </row>
    <row r="59" spans="1:6" ht="18" customHeight="1">
      <c r="A59" s="37" t="s">
        <v>159</v>
      </c>
      <c r="B59" s="38">
        <v>140</v>
      </c>
      <c r="C59" s="39" t="s">
        <v>82</v>
      </c>
      <c r="D59" s="40" t="s">
        <v>84</v>
      </c>
      <c r="E59" s="36">
        <v>3.08</v>
      </c>
      <c r="F59" s="36">
        <f t="shared" si="0"/>
        <v>431.2</v>
      </c>
    </row>
    <row r="60" spans="1:6" ht="18" customHeight="1">
      <c r="A60" s="37" t="s">
        <v>160</v>
      </c>
      <c r="B60" s="38">
        <v>84</v>
      </c>
      <c r="C60" s="39" t="s">
        <v>63</v>
      </c>
      <c r="D60" s="40" t="s">
        <v>226</v>
      </c>
      <c r="E60" s="36">
        <v>2.29</v>
      </c>
      <c r="F60" s="36">
        <f t="shared" si="0"/>
        <v>192.36</v>
      </c>
    </row>
    <row r="61" spans="1:6" ht="18" customHeight="1">
      <c r="A61" s="37" t="s">
        <v>161</v>
      </c>
      <c r="B61" s="38">
        <v>84</v>
      </c>
      <c r="C61" s="39" t="s">
        <v>63</v>
      </c>
      <c r="D61" s="40" t="s">
        <v>218</v>
      </c>
      <c r="E61" s="36">
        <v>3.15</v>
      </c>
      <c r="F61" s="36">
        <f t="shared" si="0"/>
        <v>264.59999999999997</v>
      </c>
    </row>
    <row r="62" spans="1:6" ht="18" customHeight="1">
      <c r="A62" s="37" t="s">
        <v>162</v>
      </c>
      <c r="B62" s="38">
        <v>84</v>
      </c>
      <c r="C62" s="39" t="s">
        <v>63</v>
      </c>
      <c r="D62" s="40" t="s">
        <v>219</v>
      </c>
      <c r="E62" s="36">
        <v>0.84</v>
      </c>
      <c r="F62" s="36">
        <f t="shared" si="0"/>
        <v>70.56</v>
      </c>
    </row>
    <row r="63" spans="1:6" ht="18" customHeight="1">
      <c r="A63" s="37" t="s">
        <v>163</v>
      </c>
      <c r="B63" s="38">
        <v>112</v>
      </c>
      <c r="C63" s="39" t="s">
        <v>63</v>
      </c>
      <c r="D63" s="40" t="s">
        <v>95</v>
      </c>
      <c r="E63" s="36">
        <v>1.91</v>
      </c>
      <c r="F63" s="36">
        <f t="shared" si="0"/>
        <v>213.92</v>
      </c>
    </row>
    <row r="64" spans="1:6" ht="18" customHeight="1">
      <c r="A64" s="37" t="s">
        <v>164</v>
      </c>
      <c r="B64" s="38">
        <v>112</v>
      </c>
      <c r="C64" s="39" t="s">
        <v>63</v>
      </c>
      <c r="D64" s="40" t="s">
        <v>221</v>
      </c>
      <c r="E64" s="36">
        <v>2.54</v>
      </c>
      <c r="F64" s="36">
        <f t="shared" si="0"/>
        <v>284.48</v>
      </c>
    </row>
    <row r="65" spans="1:6" ht="18" customHeight="1">
      <c r="A65" s="37" t="s">
        <v>165</v>
      </c>
      <c r="B65" s="38">
        <v>112</v>
      </c>
      <c r="C65" s="39" t="s">
        <v>63</v>
      </c>
      <c r="D65" s="40" t="s">
        <v>220</v>
      </c>
      <c r="E65" s="36">
        <v>1.44</v>
      </c>
      <c r="F65" s="36">
        <f t="shared" si="0"/>
        <v>161.28</v>
      </c>
    </row>
    <row r="66" spans="1:6" ht="18" customHeight="1">
      <c r="A66" s="37" t="s">
        <v>166</v>
      </c>
      <c r="B66" s="38">
        <v>112</v>
      </c>
      <c r="C66" s="39" t="s">
        <v>63</v>
      </c>
      <c r="D66" s="40" t="s">
        <v>99</v>
      </c>
      <c r="E66" s="36">
        <v>2.36</v>
      </c>
      <c r="F66" s="36">
        <f t="shared" si="0"/>
        <v>264.32</v>
      </c>
    </row>
    <row r="67" spans="1:6" ht="18" customHeight="1">
      <c r="A67" s="37" t="s">
        <v>167</v>
      </c>
      <c r="B67" s="38">
        <v>84</v>
      </c>
      <c r="C67" s="39" t="s">
        <v>63</v>
      </c>
      <c r="D67" s="40" t="s">
        <v>100</v>
      </c>
      <c r="E67" s="36">
        <v>4.75</v>
      </c>
      <c r="F67" s="36">
        <f t="shared" si="0"/>
        <v>399</v>
      </c>
    </row>
    <row r="68" spans="1:6" ht="18" customHeight="1">
      <c r="A68" s="37" t="s">
        <v>168</v>
      </c>
      <c r="B68" s="38">
        <v>14</v>
      </c>
      <c r="C68" s="39" t="s">
        <v>102</v>
      </c>
      <c r="D68" s="40" t="s">
        <v>103</v>
      </c>
      <c r="E68" s="36">
        <v>7.91</v>
      </c>
      <c r="F68" s="36">
        <f t="shared" si="0"/>
        <v>110.74000000000001</v>
      </c>
    </row>
    <row r="69" spans="1:6" ht="18" customHeight="1">
      <c r="A69" s="37" t="s">
        <v>169</v>
      </c>
      <c r="B69" s="38">
        <v>70</v>
      </c>
      <c r="C69" s="39" t="s">
        <v>102</v>
      </c>
      <c r="D69" s="40" t="s">
        <v>222</v>
      </c>
      <c r="E69" s="36">
        <v>4.76</v>
      </c>
      <c r="F69" s="36">
        <f t="shared" si="0"/>
        <v>333.2</v>
      </c>
    </row>
    <row r="70" spans="1:6" ht="18" customHeight="1">
      <c r="A70" s="37" t="s">
        <v>170</v>
      </c>
      <c r="B70" s="38">
        <v>140</v>
      </c>
      <c r="C70" s="39" t="s">
        <v>63</v>
      </c>
      <c r="D70" s="40" t="s">
        <v>105</v>
      </c>
      <c r="E70" s="36">
        <v>13.58</v>
      </c>
      <c r="F70" s="36">
        <f t="shared" si="0"/>
        <v>1901.2</v>
      </c>
    </row>
    <row r="71" spans="1:6" ht="18" customHeight="1">
      <c r="A71" s="37" t="s">
        <v>171</v>
      </c>
      <c r="B71" s="38">
        <v>70</v>
      </c>
      <c r="C71" s="39" t="s">
        <v>44</v>
      </c>
      <c r="D71" s="40" t="s">
        <v>107</v>
      </c>
      <c r="E71" s="36">
        <v>6.29</v>
      </c>
      <c r="F71" s="36">
        <f t="shared" si="0"/>
        <v>440.3</v>
      </c>
    </row>
    <row r="72" spans="1:6" ht="18" customHeight="1">
      <c r="A72" s="37" t="s">
        <v>172</v>
      </c>
      <c r="B72" s="38">
        <v>14</v>
      </c>
      <c r="C72" s="39" t="s">
        <v>44</v>
      </c>
      <c r="D72" s="40" t="s">
        <v>108</v>
      </c>
      <c r="E72" s="36">
        <v>1.86</v>
      </c>
      <c r="F72" s="36">
        <f t="shared" si="0"/>
        <v>26.040000000000003</v>
      </c>
    </row>
    <row r="73" spans="1:6" ht="18" customHeight="1">
      <c r="A73" s="37" t="s">
        <v>173</v>
      </c>
      <c r="B73" s="38">
        <v>14</v>
      </c>
      <c r="C73" s="39" t="s">
        <v>44</v>
      </c>
      <c r="D73" s="40" t="s">
        <v>223</v>
      </c>
      <c r="E73" s="36">
        <v>9.32</v>
      </c>
      <c r="F73" s="36">
        <f t="shared" si="0"/>
        <v>130.48000000000002</v>
      </c>
    </row>
    <row r="74" spans="1:6" ht="18" customHeight="1">
      <c r="A74" s="37" t="s">
        <v>174</v>
      </c>
      <c r="B74" s="38">
        <v>140</v>
      </c>
      <c r="C74" s="39" t="s">
        <v>44</v>
      </c>
      <c r="D74" s="40" t="s">
        <v>111</v>
      </c>
      <c r="E74" s="36">
        <v>19.95</v>
      </c>
      <c r="F74" s="36">
        <f t="shared" ref="F74:F87" si="1">B74*E74</f>
        <v>2793</v>
      </c>
    </row>
    <row r="75" spans="1:6" ht="18" customHeight="1">
      <c r="A75" s="37" t="s">
        <v>175</v>
      </c>
      <c r="B75" s="38">
        <v>140</v>
      </c>
      <c r="C75" s="39" t="s">
        <v>39</v>
      </c>
      <c r="D75" s="40" t="s">
        <v>112</v>
      </c>
      <c r="E75" s="36">
        <v>3.26</v>
      </c>
      <c r="F75" s="36">
        <f t="shared" si="1"/>
        <v>456.4</v>
      </c>
    </row>
    <row r="76" spans="1:6" ht="18" customHeight="1">
      <c r="A76" s="37" t="s">
        <v>176</v>
      </c>
      <c r="B76" s="38">
        <v>140</v>
      </c>
      <c r="C76" s="39" t="s">
        <v>102</v>
      </c>
      <c r="D76" s="40" t="s">
        <v>113</v>
      </c>
      <c r="E76" s="36">
        <v>5.75</v>
      </c>
      <c r="F76" s="36">
        <f t="shared" si="1"/>
        <v>805</v>
      </c>
    </row>
    <row r="77" spans="1:6" ht="18" customHeight="1">
      <c r="A77" s="37" t="s">
        <v>177</v>
      </c>
      <c r="B77" s="38">
        <v>140</v>
      </c>
      <c r="C77" s="39" t="s">
        <v>63</v>
      </c>
      <c r="D77" s="40" t="s">
        <v>114</v>
      </c>
      <c r="E77" s="36">
        <v>12.76</v>
      </c>
      <c r="F77" s="36">
        <f t="shared" si="1"/>
        <v>1786.3999999999999</v>
      </c>
    </row>
    <row r="78" spans="1:6" ht="18" customHeight="1">
      <c r="A78" s="37" t="s">
        <v>178</v>
      </c>
      <c r="B78" s="38">
        <v>140</v>
      </c>
      <c r="C78" s="39" t="s">
        <v>63</v>
      </c>
      <c r="D78" s="40" t="s">
        <v>116</v>
      </c>
      <c r="E78" s="36">
        <v>0.97</v>
      </c>
      <c r="F78" s="36">
        <f t="shared" si="1"/>
        <v>135.79999999999998</v>
      </c>
    </row>
    <row r="79" spans="1:6" ht="18" customHeight="1">
      <c r="A79" s="37" t="s">
        <v>179</v>
      </c>
      <c r="B79" s="38">
        <v>140</v>
      </c>
      <c r="C79" s="39" t="s">
        <v>63</v>
      </c>
      <c r="D79" s="40" t="s">
        <v>117</v>
      </c>
      <c r="E79" s="36">
        <v>0.76</v>
      </c>
      <c r="F79" s="36">
        <f t="shared" si="1"/>
        <v>106.4</v>
      </c>
    </row>
    <row r="80" spans="1:6" ht="18" customHeight="1">
      <c r="A80" s="37" t="s">
        <v>180</v>
      </c>
      <c r="B80" s="38">
        <v>140</v>
      </c>
      <c r="C80" s="39" t="s">
        <v>44</v>
      </c>
      <c r="D80" s="40" t="s">
        <v>118</v>
      </c>
      <c r="E80" s="36">
        <v>2.21</v>
      </c>
      <c r="F80" s="36">
        <f t="shared" si="1"/>
        <v>309.39999999999998</v>
      </c>
    </row>
    <row r="81" spans="1:6" ht="18" customHeight="1">
      <c r="A81" s="37" t="s">
        <v>181</v>
      </c>
      <c r="B81" s="38">
        <v>140</v>
      </c>
      <c r="C81" s="39" t="s">
        <v>102</v>
      </c>
      <c r="D81" s="40" t="s">
        <v>119</v>
      </c>
      <c r="E81" s="36">
        <v>1.17</v>
      </c>
      <c r="F81" s="36">
        <f t="shared" si="1"/>
        <v>163.79999999999998</v>
      </c>
    </row>
    <row r="82" spans="1:6" ht="18" customHeight="1">
      <c r="A82" s="37" t="s">
        <v>182</v>
      </c>
      <c r="B82" s="38">
        <v>140</v>
      </c>
      <c r="C82" s="39" t="s">
        <v>120</v>
      </c>
      <c r="D82" s="40" t="s">
        <v>121</v>
      </c>
      <c r="E82" s="36">
        <v>1.37</v>
      </c>
      <c r="F82" s="36">
        <f t="shared" si="1"/>
        <v>191.8</v>
      </c>
    </row>
    <row r="83" spans="1:6" ht="18" customHeight="1">
      <c r="A83" s="37" t="s">
        <v>183</v>
      </c>
      <c r="B83" s="38">
        <v>140</v>
      </c>
      <c r="C83" s="39" t="s">
        <v>44</v>
      </c>
      <c r="D83" s="40" t="s">
        <v>123</v>
      </c>
      <c r="E83" s="36">
        <v>1.6</v>
      </c>
      <c r="F83" s="36">
        <f t="shared" si="1"/>
        <v>224</v>
      </c>
    </row>
    <row r="84" spans="1:6" ht="18" customHeight="1">
      <c r="A84" s="37" t="s">
        <v>184</v>
      </c>
      <c r="B84" s="38">
        <v>112</v>
      </c>
      <c r="C84" s="39" t="s">
        <v>120</v>
      </c>
      <c r="D84" s="40" t="s">
        <v>224</v>
      </c>
      <c r="E84" s="36">
        <v>1.1399999999999999</v>
      </c>
      <c r="F84" s="36">
        <f t="shared" si="1"/>
        <v>127.67999999999999</v>
      </c>
    </row>
    <row r="85" spans="1:6" ht="18" customHeight="1">
      <c r="A85" s="37" t="s">
        <v>185</v>
      </c>
      <c r="B85" s="38">
        <v>112</v>
      </c>
      <c r="C85" s="39" t="s">
        <v>44</v>
      </c>
      <c r="D85" s="40" t="s">
        <v>225</v>
      </c>
      <c r="E85" s="36">
        <v>2.12</v>
      </c>
      <c r="F85" s="36">
        <f t="shared" si="1"/>
        <v>237.44</v>
      </c>
    </row>
    <row r="86" spans="1:6" ht="18" customHeight="1">
      <c r="A86" s="37" t="s">
        <v>186</v>
      </c>
      <c r="B86" s="38">
        <v>14</v>
      </c>
      <c r="C86" s="39" t="s">
        <v>44</v>
      </c>
      <c r="D86" s="40" t="s">
        <v>227</v>
      </c>
      <c r="E86" s="36">
        <v>2.4700000000000002</v>
      </c>
      <c r="F86" s="36">
        <f t="shared" si="1"/>
        <v>34.580000000000005</v>
      </c>
    </row>
    <row r="87" spans="1:6" ht="18" customHeight="1">
      <c r="A87" s="37" t="s">
        <v>187</v>
      </c>
      <c r="B87" s="38">
        <v>140</v>
      </c>
      <c r="C87" s="39" t="s">
        <v>44</v>
      </c>
      <c r="D87" s="40" t="s">
        <v>204</v>
      </c>
      <c r="E87" s="36">
        <v>0.26</v>
      </c>
      <c r="F87" s="36">
        <f t="shared" si="1"/>
        <v>36.4</v>
      </c>
    </row>
    <row r="88" spans="1:6" s="35" customFormat="1" ht="18.75">
      <c r="A88" s="71" t="s">
        <v>232</v>
      </c>
      <c r="B88" s="71"/>
      <c r="C88" s="71"/>
      <c r="D88" s="71"/>
      <c r="E88" s="72">
        <f>SUM(F9:F87)</f>
        <v>82544.309999999954</v>
      </c>
      <c r="F88" s="73"/>
    </row>
  </sheetData>
  <mergeCells count="13">
    <mergeCell ref="A1:F1"/>
    <mergeCell ref="A2:F2"/>
    <mergeCell ref="A3:F3"/>
    <mergeCell ref="A4:F4"/>
    <mergeCell ref="A5:F5"/>
    <mergeCell ref="A88:D88"/>
    <mergeCell ref="E88:F88"/>
    <mergeCell ref="A6:F6"/>
    <mergeCell ref="E7:F7"/>
    <mergeCell ref="A7:A8"/>
    <mergeCell ref="B7:B8"/>
    <mergeCell ref="C7:C8"/>
    <mergeCell ref="D7:D8"/>
  </mergeCells>
  <pageMargins left="0.51181102362204722" right="0.51181102362204722" top="0.78740157480314965" bottom="0.78740157480314965" header="0.31496062992125984" footer="0.31496062992125984"/>
  <pageSetup paperSize="9" scale="75" orientation="portrait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N92"/>
  <sheetViews>
    <sheetView zoomScale="80" zoomScaleNormal="80" workbookViewId="0">
      <selection activeCell="F59" sqref="F59"/>
    </sheetView>
  </sheetViews>
  <sheetFormatPr defaultRowHeight="15"/>
  <cols>
    <col min="2" max="2" width="12.7109375" customWidth="1"/>
    <col min="3" max="3" width="13.28515625" customWidth="1"/>
    <col min="5" max="5" width="52.42578125" customWidth="1"/>
    <col min="6" max="6" width="18.28515625" customWidth="1"/>
    <col min="8" max="8" width="15" customWidth="1"/>
    <col min="10" max="10" width="14.140625" customWidth="1"/>
    <col min="12" max="12" width="14.28515625" customWidth="1"/>
    <col min="14" max="14" width="13.85546875" customWidth="1"/>
  </cols>
  <sheetData>
    <row r="1" spans="1:14">
      <c r="A1" s="1"/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1"/>
      <c r="N2" s="1"/>
    </row>
    <row r="3" spans="1:14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1"/>
      <c r="N3" s="1"/>
    </row>
    <row r="4" spans="1:14">
      <c r="A4" s="54" t="s">
        <v>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1"/>
      <c r="N4" s="1"/>
    </row>
    <row r="5" spans="1:14">
      <c r="A5" s="54" t="s">
        <v>125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1"/>
      <c r="N5" s="1"/>
    </row>
    <row r="6" spans="1:14" ht="18.75">
      <c r="A6" s="3"/>
      <c r="B6" s="3"/>
      <c r="C6" s="3"/>
      <c r="D6" s="3"/>
      <c r="E6" s="3"/>
      <c r="F6" s="3"/>
      <c r="G6" s="3"/>
      <c r="H6" s="3"/>
      <c r="I6" s="4"/>
      <c r="J6" s="4"/>
      <c r="K6" s="4"/>
      <c r="L6" s="4"/>
      <c r="M6" s="1"/>
      <c r="N6" s="1"/>
    </row>
    <row r="7" spans="1:14" ht="19.5">
      <c r="A7" s="56" t="s">
        <v>3</v>
      </c>
      <c r="B7" s="56" t="s">
        <v>4</v>
      </c>
      <c r="C7" s="57" t="s">
        <v>5</v>
      </c>
      <c r="D7" s="56" t="s">
        <v>6</v>
      </c>
      <c r="E7" s="56" t="s">
        <v>7</v>
      </c>
      <c r="F7" s="59" t="s">
        <v>8</v>
      </c>
      <c r="G7" s="61" t="s">
        <v>9</v>
      </c>
      <c r="H7" s="61"/>
      <c r="I7" s="62" t="s">
        <v>192</v>
      </c>
      <c r="J7" s="62"/>
      <c r="K7" s="63" t="s">
        <v>10</v>
      </c>
      <c r="L7" s="63"/>
      <c r="M7" s="53" t="s">
        <v>11</v>
      </c>
      <c r="N7" s="53"/>
    </row>
    <row r="8" spans="1:14" ht="19.5">
      <c r="A8" s="56"/>
      <c r="B8" s="56"/>
      <c r="C8" s="58"/>
      <c r="D8" s="56"/>
      <c r="E8" s="56"/>
      <c r="F8" s="60"/>
      <c r="G8" s="5" t="s">
        <v>12</v>
      </c>
      <c r="H8" s="5" t="s">
        <v>13</v>
      </c>
      <c r="I8" s="6" t="s">
        <v>12</v>
      </c>
      <c r="J8" s="6" t="s">
        <v>13</v>
      </c>
      <c r="K8" s="7" t="s">
        <v>12</v>
      </c>
      <c r="L8" s="7" t="s">
        <v>13</v>
      </c>
      <c r="M8" s="8" t="s">
        <v>12</v>
      </c>
      <c r="N8" s="8" t="s">
        <v>13</v>
      </c>
    </row>
    <row r="9" spans="1:14" ht="19.5">
      <c r="A9" s="9" t="s">
        <v>14</v>
      </c>
      <c r="B9" s="15">
        <v>4000</v>
      </c>
      <c r="C9" s="13">
        <f>Outubro2015!C9-(F9)</f>
        <v>3550</v>
      </c>
      <c r="D9" s="10" t="s">
        <v>15</v>
      </c>
      <c r="E9" s="11" t="s">
        <v>33</v>
      </c>
      <c r="F9" s="17">
        <f>105+120</f>
        <v>225</v>
      </c>
      <c r="G9" s="21"/>
      <c r="H9" s="21"/>
      <c r="I9" s="22">
        <v>1.94</v>
      </c>
      <c r="J9" s="22">
        <f>F9*I9</f>
        <v>436.5</v>
      </c>
      <c r="K9" s="23"/>
      <c r="L9" s="23"/>
      <c r="M9" s="24"/>
      <c r="N9" s="24"/>
    </row>
    <row r="10" spans="1:14" ht="31.5">
      <c r="A10" s="9" t="s">
        <v>16</v>
      </c>
      <c r="B10" s="15">
        <v>800</v>
      </c>
      <c r="C10" s="13">
        <f>Outubro2015!C10-(F10)</f>
        <v>672</v>
      </c>
      <c r="D10" s="10" t="s">
        <v>15</v>
      </c>
      <c r="E10" s="11" t="s">
        <v>34</v>
      </c>
      <c r="F10" s="18">
        <f>27+27+10</f>
        <v>64</v>
      </c>
      <c r="G10" s="25">
        <v>3.71</v>
      </c>
      <c r="H10" s="21">
        <f t="shared" ref="H10:H46" si="0">F10*G10</f>
        <v>237.44</v>
      </c>
      <c r="I10" s="22"/>
      <c r="J10" s="22"/>
      <c r="K10" s="23"/>
      <c r="L10" s="23"/>
      <c r="M10" s="24"/>
      <c r="N10" s="24"/>
    </row>
    <row r="11" spans="1:14" ht="31.5">
      <c r="A11" s="9" t="s">
        <v>17</v>
      </c>
      <c r="B11" s="15">
        <v>800</v>
      </c>
      <c r="C11" s="13">
        <f>Outubro2015!C11-(F11)</f>
        <v>736</v>
      </c>
      <c r="D11" s="10" t="s">
        <v>35</v>
      </c>
      <c r="E11" s="11" t="s">
        <v>36</v>
      </c>
      <c r="F11" s="18"/>
      <c r="G11" s="25"/>
      <c r="H11" s="21"/>
      <c r="I11" s="22"/>
      <c r="J11" s="22"/>
      <c r="K11" s="23">
        <v>2.04</v>
      </c>
      <c r="L11" s="23">
        <f t="shared" ref="L11:L72" si="1">F11*K11</f>
        <v>0</v>
      </c>
      <c r="M11" s="24"/>
      <c r="N11" s="24"/>
    </row>
    <row r="12" spans="1:14" ht="19.5">
      <c r="A12" s="9" t="s">
        <v>18</v>
      </c>
      <c r="B12" s="15">
        <v>60</v>
      </c>
      <c r="C12" s="13">
        <f>Outubro2015!C12-(F12)</f>
        <v>55</v>
      </c>
      <c r="D12" s="10" t="s">
        <v>15</v>
      </c>
      <c r="E12" s="11" t="s">
        <v>37</v>
      </c>
      <c r="F12" s="18"/>
      <c r="G12" s="25"/>
      <c r="H12" s="21"/>
      <c r="I12" s="22"/>
      <c r="J12" s="22"/>
      <c r="K12" s="23">
        <v>1.58</v>
      </c>
      <c r="L12" s="23">
        <f t="shared" si="1"/>
        <v>0</v>
      </c>
      <c r="M12" s="24"/>
      <c r="N12" s="24"/>
    </row>
    <row r="13" spans="1:14" ht="19.5">
      <c r="A13" s="9" t="s">
        <v>19</v>
      </c>
      <c r="B13" s="15">
        <v>1200</v>
      </c>
      <c r="C13" s="13">
        <f>Outubro2015!C13-(F13)</f>
        <v>1000</v>
      </c>
      <c r="D13" s="10" t="s">
        <v>15</v>
      </c>
      <c r="E13" s="11" t="s">
        <v>38</v>
      </c>
      <c r="F13" s="18">
        <f>38+38+24</f>
        <v>100</v>
      </c>
      <c r="G13" s="25"/>
      <c r="H13" s="21"/>
      <c r="I13" s="22"/>
      <c r="J13" s="22"/>
      <c r="K13" s="23"/>
      <c r="L13" s="23"/>
      <c r="M13" s="24">
        <v>2.27</v>
      </c>
      <c r="N13" s="24">
        <f t="shared" ref="N13:N73" si="2">F13*M13</f>
        <v>227</v>
      </c>
    </row>
    <row r="14" spans="1:14" ht="31.5">
      <c r="A14" s="9" t="s">
        <v>20</v>
      </c>
      <c r="B14" s="15">
        <v>150</v>
      </c>
      <c r="C14" s="13">
        <f>Outubro2015!C14-(F14)</f>
        <v>126</v>
      </c>
      <c r="D14" s="10" t="s">
        <v>39</v>
      </c>
      <c r="E14" s="11" t="s">
        <v>40</v>
      </c>
      <c r="F14" s="19">
        <f>4+4+4</f>
        <v>12</v>
      </c>
      <c r="G14" s="25">
        <v>2.46</v>
      </c>
      <c r="H14" s="21">
        <f t="shared" si="0"/>
        <v>29.52</v>
      </c>
      <c r="I14" s="22"/>
      <c r="J14" s="22"/>
      <c r="K14" s="23"/>
      <c r="L14" s="23"/>
      <c r="M14" s="24"/>
      <c r="N14" s="24"/>
    </row>
    <row r="15" spans="1:14" ht="19.5">
      <c r="A15" s="9" t="s">
        <v>21</v>
      </c>
      <c r="B15" s="15">
        <v>150</v>
      </c>
      <c r="C15" s="13">
        <f>Outubro2015!C15-(F15)</f>
        <v>137</v>
      </c>
      <c r="D15" s="10" t="s">
        <v>39</v>
      </c>
      <c r="E15" s="11" t="s">
        <v>41</v>
      </c>
      <c r="F15" s="18"/>
      <c r="G15" s="25"/>
      <c r="H15" s="21"/>
      <c r="I15" s="22"/>
      <c r="J15" s="22"/>
      <c r="K15" s="23">
        <v>2.39</v>
      </c>
      <c r="L15" s="23">
        <f t="shared" si="1"/>
        <v>0</v>
      </c>
      <c r="M15" s="24"/>
      <c r="N15" s="24"/>
    </row>
    <row r="16" spans="1:14" ht="19.5">
      <c r="A16" s="9" t="s">
        <v>22</v>
      </c>
      <c r="B16" s="15">
        <v>1200</v>
      </c>
      <c r="C16" s="13">
        <f>Outubro2015!C16-(F16)</f>
        <v>1000</v>
      </c>
      <c r="D16" s="10" t="s">
        <v>35</v>
      </c>
      <c r="E16" s="11" t="s">
        <v>42</v>
      </c>
      <c r="F16" s="18">
        <f>40+40+20</f>
        <v>100</v>
      </c>
      <c r="G16" s="25">
        <v>3.12</v>
      </c>
      <c r="H16" s="21">
        <f t="shared" si="0"/>
        <v>312</v>
      </c>
      <c r="I16" s="22"/>
      <c r="J16" s="22"/>
      <c r="K16" s="23"/>
      <c r="L16" s="23"/>
      <c r="M16" s="24"/>
      <c r="N16" s="24"/>
    </row>
    <row r="17" spans="1:14" ht="19.5">
      <c r="A17" s="9" t="s">
        <v>23</v>
      </c>
      <c r="B17" s="15">
        <v>1200</v>
      </c>
      <c r="C17" s="13">
        <f>Outubro2015!C17-(F17)</f>
        <v>1000</v>
      </c>
      <c r="D17" s="10" t="s">
        <v>35</v>
      </c>
      <c r="E17" s="11" t="s">
        <v>43</v>
      </c>
      <c r="F17" s="18">
        <f>40+40+20</f>
        <v>100</v>
      </c>
      <c r="G17" s="25">
        <v>3.07</v>
      </c>
      <c r="H17" s="21">
        <f t="shared" si="0"/>
        <v>307</v>
      </c>
      <c r="I17" s="22"/>
      <c r="J17" s="22"/>
      <c r="K17" s="23"/>
      <c r="L17" s="23"/>
      <c r="M17" s="24"/>
      <c r="N17" s="24"/>
    </row>
    <row r="18" spans="1:14" ht="19.5">
      <c r="A18" s="9" t="s">
        <v>24</v>
      </c>
      <c r="B18" s="15">
        <v>400</v>
      </c>
      <c r="C18" s="13">
        <f>Outubro2015!C18-(F18)</f>
        <v>332</v>
      </c>
      <c r="D18" s="10" t="s">
        <v>44</v>
      </c>
      <c r="E18" s="11" t="s">
        <v>45</v>
      </c>
      <c r="F18" s="18">
        <f>12+12+10</f>
        <v>34</v>
      </c>
      <c r="G18" s="25"/>
      <c r="H18" s="21"/>
      <c r="I18" s="22"/>
      <c r="J18" s="22"/>
      <c r="K18" s="23"/>
      <c r="L18" s="23"/>
      <c r="M18" s="24">
        <v>3.38</v>
      </c>
      <c r="N18" s="24">
        <f t="shared" si="2"/>
        <v>114.92</v>
      </c>
    </row>
    <row r="19" spans="1:14" ht="19.5">
      <c r="A19" s="9" t="s">
        <v>25</v>
      </c>
      <c r="B19" s="15">
        <v>220</v>
      </c>
      <c r="C19" s="13">
        <f>Outubro2015!C19-(F19)</f>
        <v>202</v>
      </c>
      <c r="D19" s="10" t="s">
        <v>46</v>
      </c>
      <c r="E19" s="11" t="s">
        <v>47</v>
      </c>
      <c r="F19" s="18"/>
      <c r="G19" s="25"/>
      <c r="H19" s="21"/>
      <c r="I19" s="22"/>
      <c r="J19" s="22"/>
      <c r="K19" s="23">
        <v>4.03</v>
      </c>
      <c r="L19" s="23">
        <f t="shared" si="1"/>
        <v>0</v>
      </c>
      <c r="M19" s="24"/>
      <c r="N19" s="24"/>
    </row>
    <row r="20" spans="1:14" ht="19.5">
      <c r="A20" s="9" t="s">
        <v>26</v>
      </c>
      <c r="B20" s="15">
        <v>450</v>
      </c>
      <c r="C20" s="13">
        <f>Outubro2015!C20-(F20)</f>
        <v>384</v>
      </c>
      <c r="D20" s="10" t="s">
        <v>39</v>
      </c>
      <c r="E20" s="11" t="s">
        <v>48</v>
      </c>
      <c r="F20" s="18">
        <f>3+30</f>
        <v>33</v>
      </c>
      <c r="G20" s="25"/>
      <c r="H20" s="21"/>
      <c r="I20" s="22">
        <v>12.22</v>
      </c>
      <c r="J20" s="22">
        <f t="shared" ref="J20:J58" si="3">F20*I20</f>
        <v>403.26000000000005</v>
      </c>
      <c r="K20" s="23"/>
      <c r="L20" s="23"/>
      <c r="M20" s="24"/>
      <c r="N20" s="24"/>
    </row>
    <row r="21" spans="1:14" ht="19.5">
      <c r="A21" s="9" t="s">
        <v>28</v>
      </c>
      <c r="B21" s="15">
        <v>300</v>
      </c>
      <c r="C21" s="13">
        <f>Outubro2015!C21-(F21)</f>
        <v>275</v>
      </c>
      <c r="D21" s="10" t="s">
        <v>35</v>
      </c>
      <c r="E21" s="11" t="s">
        <v>27</v>
      </c>
      <c r="F21" s="20"/>
      <c r="G21" s="25"/>
      <c r="H21" s="21"/>
      <c r="I21" s="22"/>
      <c r="J21" s="22"/>
      <c r="K21" s="23">
        <v>3.05</v>
      </c>
      <c r="L21" s="23">
        <f t="shared" si="1"/>
        <v>0</v>
      </c>
      <c r="M21" s="24"/>
      <c r="N21" s="24"/>
    </row>
    <row r="22" spans="1:14" ht="19.5">
      <c r="A22" s="9" t="s">
        <v>29</v>
      </c>
      <c r="B22" s="15">
        <v>400</v>
      </c>
      <c r="C22" s="13">
        <f>Outubro2015!C22-(F22)</f>
        <v>336</v>
      </c>
      <c r="D22" s="10" t="s">
        <v>35</v>
      </c>
      <c r="E22" s="11" t="s">
        <v>49</v>
      </c>
      <c r="F22" s="20">
        <f>12+12+8</f>
        <v>32</v>
      </c>
      <c r="G22" s="25">
        <v>1.64</v>
      </c>
      <c r="H22" s="21">
        <f t="shared" si="0"/>
        <v>52.48</v>
      </c>
      <c r="I22" s="22"/>
      <c r="J22" s="22"/>
      <c r="K22" s="23"/>
      <c r="L22" s="23"/>
      <c r="M22" s="24"/>
      <c r="N22" s="24"/>
    </row>
    <row r="23" spans="1:14" ht="19.5">
      <c r="A23" s="9" t="s">
        <v>30</v>
      </c>
      <c r="B23" s="15">
        <v>200</v>
      </c>
      <c r="C23" s="13">
        <f>Outubro2015!C23-(F23)</f>
        <v>184</v>
      </c>
      <c r="D23" s="10" t="s">
        <v>39</v>
      </c>
      <c r="E23" s="11" t="s">
        <v>50</v>
      </c>
      <c r="F23" s="20"/>
      <c r="G23" s="25"/>
      <c r="H23" s="21"/>
      <c r="I23" s="22"/>
      <c r="J23" s="22"/>
      <c r="K23" s="23">
        <v>1.51</v>
      </c>
      <c r="L23" s="23">
        <f t="shared" si="1"/>
        <v>0</v>
      </c>
      <c r="M23" s="24"/>
      <c r="N23" s="24"/>
    </row>
    <row r="24" spans="1:14" ht="19.5">
      <c r="A24" s="9" t="s">
        <v>31</v>
      </c>
      <c r="B24" s="15">
        <v>800</v>
      </c>
      <c r="C24" s="13">
        <f>Outubro2015!C24-(F24)</f>
        <v>670</v>
      </c>
      <c r="D24" s="10" t="s">
        <v>44</v>
      </c>
      <c r="E24" s="11" t="s">
        <v>51</v>
      </c>
      <c r="F24" s="19">
        <f>25+24+16</f>
        <v>65</v>
      </c>
      <c r="G24" s="25">
        <v>3.68</v>
      </c>
      <c r="H24" s="21">
        <f t="shared" si="0"/>
        <v>239.20000000000002</v>
      </c>
      <c r="I24" s="22"/>
      <c r="J24" s="22"/>
      <c r="K24" s="23"/>
      <c r="L24" s="23"/>
      <c r="M24" s="24"/>
      <c r="N24" s="24"/>
    </row>
    <row r="25" spans="1:14" ht="19.5">
      <c r="A25" s="9" t="s">
        <v>32</v>
      </c>
      <c r="B25" s="15">
        <v>800</v>
      </c>
      <c r="C25" s="13">
        <f>Outubro2015!C25-(F25)</f>
        <v>670</v>
      </c>
      <c r="D25" s="10" t="s">
        <v>44</v>
      </c>
      <c r="E25" s="11" t="s">
        <v>52</v>
      </c>
      <c r="F25" s="18">
        <f>25+24+16</f>
        <v>65</v>
      </c>
      <c r="G25" s="25"/>
      <c r="H25" s="21"/>
      <c r="I25" s="22"/>
      <c r="J25" s="22"/>
      <c r="K25" s="23"/>
      <c r="L25" s="23"/>
      <c r="M25" s="24">
        <v>4.75</v>
      </c>
      <c r="N25" s="24">
        <f t="shared" si="2"/>
        <v>308.75</v>
      </c>
    </row>
    <row r="26" spans="1:14" ht="19.5">
      <c r="A26" s="9" t="s">
        <v>126</v>
      </c>
      <c r="B26" s="15">
        <v>800</v>
      </c>
      <c r="C26" s="13">
        <f>Outubro2015!C26-(F26)</f>
        <v>670</v>
      </c>
      <c r="D26" s="10" t="s">
        <v>44</v>
      </c>
      <c r="E26" s="11" t="s">
        <v>53</v>
      </c>
      <c r="F26" s="17">
        <f>25+24+16</f>
        <v>65</v>
      </c>
      <c r="G26" s="21">
        <v>5.88</v>
      </c>
      <c r="H26" s="21">
        <f t="shared" si="0"/>
        <v>382.2</v>
      </c>
      <c r="I26" s="22"/>
      <c r="J26" s="22"/>
      <c r="K26" s="23"/>
      <c r="L26" s="23"/>
      <c r="M26" s="24"/>
      <c r="N26" s="24"/>
    </row>
    <row r="27" spans="1:14" ht="19.5">
      <c r="A27" s="9" t="s">
        <v>127</v>
      </c>
      <c r="B27" s="15">
        <v>400</v>
      </c>
      <c r="C27" s="13">
        <f>Outubro2015!C27-(F27)</f>
        <v>336</v>
      </c>
      <c r="D27" s="10" t="s">
        <v>54</v>
      </c>
      <c r="E27" s="11" t="s">
        <v>55</v>
      </c>
      <c r="F27" s="18">
        <f>32</f>
        <v>32</v>
      </c>
      <c r="G27" s="25">
        <v>5.45</v>
      </c>
      <c r="H27" s="21">
        <f t="shared" si="0"/>
        <v>174.4</v>
      </c>
      <c r="I27" s="22"/>
      <c r="J27" s="22"/>
      <c r="K27" s="23"/>
      <c r="L27" s="23"/>
      <c r="M27" s="24"/>
      <c r="N27" s="24"/>
    </row>
    <row r="28" spans="1:14" ht="19.5">
      <c r="A28" s="9" t="s">
        <v>128</v>
      </c>
      <c r="B28" s="15">
        <v>500</v>
      </c>
      <c r="C28" s="13">
        <f>Outubro2015!C28-(F28)</f>
        <v>425</v>
      </c>
      <c r="D28" s="10" t="s">
        <v>39</v>
      </c>
      <c r="E28" s="11" t="s">
        <v>56</v>
      </c>
      <c r="F28" s="18">
        <f>3+35</f>
        <v>38</v>
      </c>
      <c r="G28" s="25"/>
      <c r="H28" s="21"/>
      <c r="I28" s="22">
        <v>17.57</v>
      </c>
      <c r="J28" s="22">
        <f t="shared" si="3"/>
        <v>667.66</v>
      </c>
      <c r="K28" s="23"/>
      <c r="L28" s="23"/>
      <c r="M28" s="24"/>
      <c r="N28" s="24"/>
    </row>
    <row r="29" spans="1:14" ht="19.5">
      <c r="A29" s="9" t="s">
        <v>129</v>
      </c>
      <c r="B29" s="15">
        <v>500</v>
      </c>
      <c r="C29" s="13">
        <f>Outubro2015!C29-(F29)</f>
        <v>420</v>
      </c>
      <c r="D29" s="10" t="s">
        <v>39</v>
      </c>
      <c r="E29" s="11" t="s">
        <v>57</v>
      </c>
      <c r="F29" s="18">
        <f>3+2+35</f>
        <v>40</v>
      </c>
      <c r="G29" s="25">
        <v>11.49</v>
      </c>
      <c r="H29" s="21">
        <f t="shared" si="0"/>
        <v>459.6</v>
      </c>
      <c r="I29" s="22"/>
      <c r="J29" s="22"/>
      <c r="K29" s="23"/>
      <c r="L29" s="23"/>
      <c r="M29" s="24"/>
      <c r="N29" s="24"/>
    </row>
    <row r="30" spans="1:14" ht="19.5">
      <c r="A30" s="9" t="s">
        <v>130</v>
      </c>
      <c r="B30" s="15">
        <v>500</v>
      </c>
      <c r="C30" s="13">
        <f>Outubro2015!C30-(F30)</f>
        <v>460</v>
      </c>
      <c r="D30" s="10" t="s">
        <v>39</v>
      </c>
      <c r="E30" s="11" t="s">
        <v>58</v>
      </c>
      <c r="F30" s="18"/>
      <c r="G30" s="25"/>
      <c r="H30" s="21"/>
      <c r="I30" s="22"/>
      <c r="J30" s="22"/>
      <c r="K30" s="23">
        <v>13.58</v>
      </c>
      <c r="L30" s="23">
        <f t="shared" si="1"/>
        <v>0</v>
      </c>
      <c r="M30" s="24"/>
      <c r="N30" s="24"/>
    </row>
    <row r="31" spans="1:14" ht="19.5">
      <c r="A31" s="9" t="s">
        <v>131</v>
      </c>
      <c r="B31" s="15">
        <v>500</v>
      </c>
      <c r="C31" s="13">
        <f>Outubro2015!C31-(F31)</f>
        <v>425</v>
      </c>
      <c r="D31" s="10" t="s">
        <v>39</v>
      </c>
      <c r="E31" s="11" t="s">
        <v>59</v>
      </c>
      <c r="F31" s="19">
        <f>3+35</f>
        <v>38</v>
      </c>
      <c r="G31" s="25"/>
      <c r="H31" s="21"/>
      <c r="I31" s="22">
        <v>16.89</v>
      </c>
      <c r="J31" s="22">
        <f t="shared" si="3"/>
        <v>641.82000000000005</v>
      </c>
      <c r="K31" s="23"/>
      <c r="L31" s="23"/>
      <c r="M31" s="24"/>
      <c r="N31" s="24"/>
    </row>
    <row r="32" spans="1:14" ht="19.5">
      <c r="A32" s="9" t="s">
        <v>132</v>
      </c>
      <c r="B32" s="15">
        <v>500</v>
      </c>
      <c r="C32" s="13">
        <f>Outubro2015!C32-(F32)</f>
        <v>420</v>
      </c>
      <c r="D32" s="10" t="s">
        <v>39</v>
      </c>
      <c r="E32" s="11" t="s">
        <v>60</v>
      </c>
      <c r="F32" s="18">
        <f>3+2+35</f>
        <v>40</v>
      </c>
      <c r="G32" s="25">
        <v>9.1199999999999992</v>
      </c>
      <c r="H32" s="21">
        <f t="shared" si="0"/>
        <v>364.79999999999995</v>
      </c>
      <c r="I32" s="22"/>
      <c r="J32" s="22"/>
      <c r="K32" s="23"/>
      <c r="L32" s="23"/>
      <c r="M32" s="24"/>
      <c r="N32" s="24"/>
    </row>
    <row r="33" spans="1:14" ht="19.5">
      <c r="A33" s="9" t="s">
        <v>133</v>
      </c>
      <c r="B33" s="15">
        <v>400</v>
      </c>
      <c r="C33" s="13">
        <f>Outubro2015!C33-(F33)</f>
        <v>368</v>
      </c>
      <c r="D33" s="10" t="s">
        <v>54</v>
      </c>
      <c r="E33" s="11" t="s">
        <v>61</v>
      </c>
      <c r="F33" s="18"/>
      <c r="G33" s="25"/>
      <c r="H33" s="21"/>
      <c r="I33" s="22"/>
      <c r="J33" s="22"/>
      <c r="K33" s="23">
        <v>13.25</v>
      </c>
      <c r="L33" s="23">
        <f t="shared" si="1"/>
        <v>0</v>
      </c>
      <c r="M33" s="24"/>
      <c r="N33" s="24"/>
    </row>
    <row r="34" spans="1:14" ht="19.5">
      <c r="A34" s="9" t="s">
        <v>134</v>
      </c>
      <c r="B34" s="15">
        <v>250</v>
      </c>
      <c r="C34" s="13">
        <f>Outubro2015!C34-(F34)</f>
        <v>207</v>
      </c>
      <c r="D34" s="10" t="s">
        <v>39</v>
      </c>
      <c r="E34" s="11" t="s">
        <v>62</v>
      </c>
      <c r="F34" s="18">
        <f>20</f>
        <v>20</v>
      </c>
      <c r="G34" s="25"/>
      <c r="H34" s="21"/>
      <c r="I34" s="22"/>
      <c r="J34" s="22"/>
      <c r="K34" s="23"/>
      <c r="L34" s="23"/>
      <c r="M34" s="24">
        <v>13.69</v>
      </c>
      <c r="N34" s="24">
        <f t="shared" si="2"/>
        <v>273.8</v>
      </c>
    </row>
    <row r="35" spans="1:14" ht="19.5">
      <c r="A35" s="9" t="s">
        <v>135</v>
      </c>
      <c r="B35" s="15">
        <v>150</v>
      </c>
      <c r="C35" s="13">
        <f>Outubro2015!C35-(F35)</f>
        <v>131</v>
      </c>
      <c r="D35" s="10" t="s">
        <v>63</v>
      </c>
      <c r="E35" s="11" t="s">
        <v>64</v>
      </c>
      <c r="F35" s="18">
        <f>3+3+5</f>
        <v>11</v>
      </c>
      <c r="G35" s="25">
        <v>1.1399999999999999</v>
      </c>
      <c r="H35" s="21">
        <f t="shared" si="0"/>
        <v>12.54</v>
      </c>
      <c r="I35" s="22"/>
      <c r="J35" s="22"/>
      <c r="K35" s="23"/>
      <c r="L35" s="23"/>
      <c r="M35" s="24"/>
      <c r="N35" s="24"/>
    </row>
    <row r="36" spans="1:14" ht="19.5">
      <c r="A36" s="9" t="s">
        <v>136</v>
      </c>
      <c r="B36" s="15">
        <v>100</v>
      </c>
      <c r="C36" s="13">
        <f>Outubro2015!C36-(F36)</f>
        <v>92</v>
      </c>
      <c r="D36" s="10" t="s">
        <v>63</v>
      </c>
      <c r="E36" s="11" t="s">
        <v>65</v>
      </c>
      <c r="F36" s="18">
        <f>4+4</f>
        <v>8</v>
      </c>
      <c r="G36" s="25">
        <v>4.9000000000000004</v>
      </c>
      <c r="H36" s="21">
        <f t="shared" si="0"/>
        <v>39.200000000000003</v>
      </c>
      <c r="I36" s="22"/>
      <c r="J36" s="22"/>
      <c r="K36" s="23"/>
      <c r="L36" s="23"/>
      <c r="M36" s="24"/>
      <c r="N36" s="24"/>
    </row>
    <row r="37" spans="1:14" ht="31.5">
      <c r="A37" s="9" t="s">
        <v>137</v>
      </c>
      <c r="B37" s="15">
        <v>200</v>
      </c>
      <c r="C37" s="13">
        <f>Outubro2015!C37-(F37)</f>
        <v>184</v>
      </c>
      <c r="D37" s="10" t="s">
        <v>39</v>
      </c>
      <c r="E37" s="11" t="s">
        <v>66</v>
      </c>
      <c r="F37" s="18"/>
      <c r="G37" s="25"/>
      <c r="H37" s="21"/>
      <c r="I37" s="22"/>
      <c r="J37" s="22"/>
      <c r="K37" s="23">
        <v>2.98</v>
      </c>
      <c r="L37" s="23">
        <f t="shared" si="1"/>
        <v>0</v>
      </c>
      <c r="M37" s="24"/>
      <c r="N37" s="24"/>
    </row>
    <row r="38" spans="1:14" ht="19.5">
      <c r="A38" s="9" t="s">
        <v>138</v>
      </c>
      <c r="B38" s="15">
        <v>200</v>
      </c>
      <c r="C38" s="13">
        <f>Outubro2015!C38-(F38)</f>
        <v>168</v>
      </c>
      <c r="D38" s="10" t="s">
        <v>63</v>
      </c>
      <c r="E38" s="11" t="s">
        <v>67</v>
      </c>
      <c r="F38" s="20">
        <f>3+3+10</f>
        <v>16</v>
      </c>
      <c r="G38" s="25">
        <v>0.51</v>
      </c>
      <c r="H38" s="21">
        <f t="shared" si="0"/>
        <v>8.16</v>
      </c>
      <c r="I38" s="22"/>
      <c r="J38" s="22"/>
      <c r="K38" s="23"/>
      <c r="L38" s="23"/>
      <c r="M38" s="24"/>
      <c r="N38" s="24"/>
    </row>
    <row r="39" spans="1:14" ht="19.5">
      <c r="A39" s="9" t="s">
        <v>139</v>
      </c>
      <c r="B39" s="15">
        <v>100</v>
      </c>
      <c r="C39" s="13">
        <f>Outubro2015!C39-(F39)</f>
        <v>92</v>
      </c>
      <c r="D39" s="10" t="s">
        <v>39</v>
      </c>
      <c r="E39" s="11" t="s">
        <v>68</v>
      </c>
      <c r="F39" s="20"/>
      <c r="G39" s="25"/>
      <c r="H39" s="21"/>
      <c r="I39" s="22"/>
      <c r="J39" s="22"/>
      <c r="K39" s="23">
        <v>7.43</v>
      </c>
      <c r="L39" s="23">
        <f t="shared" si="1"/>
        <v>0</v>
      </c>
      <c r="M39" s="24"/>
      <c r="N39" s="24"/>
    </row>
    <row r="40" spans="1:14" ht="31.5">
      <c r="A40" s="9" t="s">
        <v>140</v>
      </c>
      <c r="B40" s="15">
        <v>300</v>
      </c>
      <c r="C40" s="13">
        <f>Outubro2015!C40-(F40)</f>
        <v>276</v>
      </c>
      <c r="D40" s="10" t="s">
        <v>63</v>
      </c>
      <c r="E40" s="11" t="s">
        <v>69</v>
      </c>
      <c r="F40" s="20"/>
      <c r="G40" s="25"/>
      <c r="H40" s="21"/>
      <c r="I40" s="22"/>
      <c r="J40" s="22"/>
      <c r="K40" s="23">
        <v>2.87</v>
      </c>
      <c r="L40" s="23">
        <f t="shared" si="1"/>
        <v>0</v>
      </c>
      <c r="M40" s="24"/>
      <c r="N40" s="24"/>
    </row>
    <row r="41" spans="1:14" ht="19.5">
      <c r="A41" s="9" t="s">
        <v>141</v>
      </c>
      <c r="B41" s="15">
        <v>30</v>
      </c>
      <c r="C41" s="13">
        <f>Outubro2015!C41-(F41)</f>
        <v>26</v>
      </c>
      <c r="D41" s="10" t="s">
        <v>39</v>
      </c>
      <c r="E41" s="11" t="s">
        <v>70</v>
      </c>
      <c r="F41" s="19">
        <f>2</f>
        <v>2</v>
      </c>
      <c r="G41" s="25">
        <v>7.38</v>
      </c>
      <c r="H41" s="21">
        <f t="shared" si="0"/>
        <v>14.76</v>
      </c>
      <c r="I41" s="22"/>
      <c r="J41" s="22"/>
      <c r="K41" s="23"/>
      <c r="L41" s="23"/>
      <c r="M41" s="24"/>
      <c r="N41" s="24"/>
    </row>
    <row r="42" spans="1:14" ht="19.5">
      <c r="A42" s="9" t="s">
        <v>142</v>
      </c>
      <c r="B42" s="15">
        <v>100</v>
      </c>
      <c r="C42" s="13">
        <f>Outubro2015!C42-(F42)</f>
        <v>92</v>
      </c>
      <c r="D42" s="10" t="s">
        <v>63</v>
      </c>
      <c r="E42" s="11" t="s">
        <v>71</v>
      </c>
      <c r="F42" s="18"/>
      <c r="G42" s="25"/>
      <c r="H42" s="21"/>
      <c r="I42" s="22"/>
      <c r="J42" s="22"/>
      <c r="K42" s="23">
        <v>3.89</v>
      </c>
      <c r="L42" s="23">
        <f t="shared" si="1"/>
        <v>0</v>
      </c>
      <c r="M42" s="24"/>
      <c r="N42" s="24"/>
    </row>
    <row r="43" spans="1:14" ht="19.5">
      <c r="A43" s="9" t="s">
        <v>143</v>
      </c>
      <c r="B43" s="15">
        <v>20</v>
      </c>
      <c r="C43" s="13">
        <f>Outubro2015!C43-(F43)</f>
        <v>19</v>
      </c>
      <c r="D43" s="10" t="s">
        <v>39</v>
      </c>
      <c r="E43" s="11" t="s">
        <v>72</v>
      </c>
      <c r="F43" s="17"/>
      <c r="G43" s="21"/>
      <c r="H43" s="21"/>
      <c r="I43" s="22"/>
      <c r="J43" s="22"/>
      <c r="K43" s="23">
        <v>8.1300000000000008</v>
      </c>
      <c r="L43" s="23">
        <f t="shared" si="1"/>
        <v>0</v>
      </c>
      <c r="M43" s="24"/>
      <c r="N43" s="24"/>
    </row>
    <row r="44" spans="1:14" ht="19.5">
      <c r="A44" s="9" t="s">
        <v>144</v>
      </c>
      <c r="B44" s="15">
        <v>400</v>
      </c>
      <c r="C44" s="13">
        <f>Outubro2015!C44-(F44)</f>
        <v>336</v>
      </c>
      <c r="D44" s="10" t="s">
        <v>63</v>
      </c>
      <c r="E44" s="11" t="s">
        <v>73</v>
      </c>
      <c r="F44" s="18">
        <f>10+10+12</f>
        <v>32</v>
      </c>
      <c r="G44" s="25">
        <v>1.58</v>
      </c>
      <c r="H44" s="21">
        <f t="shared" si="0"/>
        <v>50.56</v>
      </c>
      <c r="I44" s="22"/>
      <c r="J44" s="22"/>
      <c r="K44" s="23"/>
      <c r="L44" s="23"/>
      <c r="M44" s="24"/>
      <c r="N44" s="24"/>
    </row>
    <row r="45" spans="1:14" ht="19.5">
      <c r="A45" s="9" t="s">
        <v>145</v>
      </c>
      <c r="B45" s="15">
        <v>400</v>
      </c>
      <c r="C45" s="13">
        <f>Outubro2015!C45-(F45)</f>
        <v>336</v>
      </c>
      <c r="D45" s="10" t="s">
        <v>63</v>
      </c>
      <c r="E45" s="11" t="s">
        <v>74</v>
      </c>
      <c r="F45" s="18">
        <f>10+10+12</f>
        <v>32</v>
      </c>
      <c r="G45" s="25">
        <v>2.54</v>
      </c>
      <c r="H45" s="21">
        <f t="shared" si="0"/>
        <v>81.28</v>
      </c>
      <c r="I45" s="22"/>
      <c r="J45" s="22"/>
      <c r="K45" s="23"/>
      <c r="L45" s="23"/>
      <c r="M45" s="24"/>
      <c r="N45" s="24"/>
    </row>
    <row r="46" spans="1:14" ht="19.5">
      <c r="A46" s="9" t="s">
        <v>146</v>
      </c>
      <c r="B46" s="15">
        <v>120</v>
      </c>
      <c r="C46" s="13">
        <f>Outubro2015!C46-(F46)</f>
        <v>96</v>
      </c>
      <c r="D46" s="10" t="s">
        <v>39</v>
      </c>
      <c r="E46" s="11" t="s">
        <v>75</v>
      </c>
      <c r="F46" s="18">
        <f>4+3+5</f>
        <v>12</v>
      </c>
      <c r="G46" s="25">
        <v>4.6399999999999997</v>
      </c>
      <c r="H46" s="21">
        <f t="shared" si="0"/>
        <v>55.679999999999993</v>
      </c>
      <c r="I46" s="22"/>
      <c r="J46" s="22"/>
      <c r="K46" s="23"/>
      <c r="L46" s="23"/>
      <c r="M46" s="24"/>
      <c r="N46" s="24"/>
    </row>
    <row r="47" spans="1:14" ht="31.5">
      <c r="A47" s="9" t="s">
        <v>147</v>
      </c>
      <c r="B47" s="15">
        <v>1200</v>
      </c>
      <c r="C47" s="13">
        <f>Outubro2015!C47-(F47)</f>
        <v>1100</v>
      </c>
      <c r="D47" s="10" t="s">
        <v>63</v>
      </c>
      <c r="E47" s="11" t="s">
        <v>76</v>
      </c>
      <c r="F47" s="18"/>
      <c r="G47" s="25"/>
      <c r="H47" s="21"/>
      <c r="I47" s="22"/>
      <c r="J47" s="22"/>
      <c r="K47" s="23">
        <v>3.65</v>
      </c>
      <c r="L47" s="23">
        <f t="shared" si="1"/>
        <v>0</v>
      </c>
      <c r="M47" s="24"/>
      <c r="N47" s="24"/>
    </row>
    <row r="48" spans="1:14" ht="19.5">
      <c r="A48" s="9" t="s">
        <v>148</v>
      </c>
      <c r="B48" s="15">
        <v>300</v>
      </c>
      <c r="C48" s="13">
        <f>Outubro2015!C48-(F48)</f>
        <v>253</v>
      </c>
      <c r="D48" s="10" t="s">
        <v>39</v>
      </c>
      <c r="E48" s="11" t="s">
        <v>77</v>
      </c>
      <c r="F48" s="19">
        <f>3+2+20</f>
        <v>25</v>
      </c>
      <c r="G48" s="25"/>
      <c r="H48" s="21"/>
      <c r="I48" s="22"/>
      <c r="J48" s="22"/>
      <c r="K48" s="23"/>
      <c r="L48" s="23"/>
      <c r="M48" s="24">
        <v>6.49</v>
      </c>
      <c r="N48" s="24">
        <f t="shared" si="2"/>
        <v>162.25</v>
      </c>
    </row>
    <row r="49" spans="1:14" ht="19.5">
      <c r="A49" s="9" t="s">
        <v>149</v>
      </c>
      <c r="B49" s="15">
        <v>500</v>
      </c>
      <c r="C49" s="13">
        <f>Outubro2015!C49-(F49)</f>
        <v>470</v>
      </c>
      <c r="D49" s="10" t="s">
        <v>63</v>
      </c>
      <c r="E49" s="11" t="s">
        <v>78</v>
      </c>
      <c r="F49" s="18"/>
      <c r="G49" s="25"/>
      <c r="H49" s="21"/>
      <c r="I49" s="22">
        <v>0.99</v>
      </c>
      <c r="J49" s="22">
        <f t="shared" si="3"/>
        <v>0</v>
      </c>
      <c r="K49" s="23"/>
      <c r="L49" s="23"/>
      <c r="M49" s="24"/>
      <c r="N49" s="24"/>
    </row>
    <row r="50" spans="1:14" ht="47.25">
      <c r="A50" s="9" t="s">
        <v>150</v>
      </c>
      <c r="B50" s="15">
        <v>500</v>
      </c>
      <c r="C50" s="13">
        <f>Outubro2015!C50-(F50)</f>
        <v>446</v>
      </c>
      <c r="D50" s="10" t="s">
        <v>39</v>
      </c>
      <c r="E50" s="11" t="s">
        <v>79</v>
      </c>
      <c r="F50" s="18">
        <f>7+20</f>
        <v>27</v>
      </c>
      <c r="G50" s="25"/>
      <c r="H50" s="21"/>
      <c r="I50" s="22">
        <v>1.57</v>
      </c>
      <c r="J50" s="22">
        <f t="shared" si="3"/>
        <v>42.39</v>
      </c>
      <c r="K50" s="23"/>
      <c r="L50" s="23"/>
      <c r="M50" s="24"/>
      <c r="N50" s="24"/>
    </row>
    <row r="51" spans="1:14" ht="63">
      <c r="A51" s="9" t="s">
        <v>151</v>
      </c>
      <c r="B51" s="15">
        <v>36</v>
      </c>
      <c r="C51" s="13">
        <f>Outubro2015!C51-(F51)</f>
        <v>32</v>
      </c>
      <c r="D51" s="10" t="s">
        <v>63</v>
      </c>
      <c r="E51" s="11" t="s">
        <v>80</v>
      </c>
      <c r="F51" s="18">
        <f>1</f>
        <v>1</v>
      </c>
      <c r="G51" s="25"/>
      <c r="H51" s="21"/>
      <c r="I51" s="22">
        <v>2.0499999999999998</v>
      </c>
      <c r="J51" s="22">
        <f t="shared" si="3"/>
        <v>2.0499999999999998</v>
      </c>
      <c r="K51" s="23"/>
      <c r="L51" s="23"/>
      <c r="M51" s="24"/>
      <c r="N51" s="24"/>
    </row>
    <row r="52" spans="1:14" ht="19.5">
      <c r="A52" s="9" t="s">
        <v>152</v>
      </c>
      <c r="B52" s="15">
        <v>30</v>
      </c>
      <c r="C52" s="13">
        <f>Outubro2015!C52-(F52)</f>
        <v>28</v>
      </c>
      <c r="D52" s="10" t="s">
        <v>15</v>
      </c>
      <c r="E52" s="11" t="s">
        <v>81</v>
      </c>
      <c r="F52" s="18"/>
      <c r="G52" s="25"/>
      <c r="H52" s="21"/>
      <c r="I52" s="22"/>
      <c r="J52" s="22"/>
      <c r="K52" s="23">
        <v>15.35</v>
      </c>
      <c r="L52" s="23">
        <f t="shared" si="1"/>
        <v>0</v>
      </c>
      <c r="M52" s="24"/>
      <c r="N52" s="24"/>
    </row>
    <row r="53" spans="1:14" ht="63">
      <c r="A53" s="9" t="s">
        <v>153</v>
      </c>
      <c r="B53" s="15">
        <v>60</v>
      </c>
      <c r="C53" s="13">
        <f>Outubro2015!C53-(F53)</f>
        <v>50</v>
      </c>
      <c r="D53" s="10" t="s">
        <v>82</v>
      </c>
      <c r="E53" s="11" t="s">
        <v>83</v>
      </c>
      <c r="F53" s="18"/>
      <c r="G53" s="25"/>
      <c r="H53" s="21"/>
      <c r="I53" s="22"/>
      <c r="J53" s="22"/>
      <c r="K53" s="23">
        <v>17.47</v>
      </c>
      <c r="L53" s="23">
        <f t="shared" si="1"/>
        <v>0</v>
      </c>
      <c r="M53" s="24"/>
      <c r="N53" s="24"/>
    </row>
    <row r="54" spans="1:14" ht="63">
      <c r="A54" s="9" t="s">
        <v>154</v>
      </c>
      <c r="B54" s="15">
        <v>60</v>
      </c>
      <c r="C54" s="13">
        <f>Outubro2015!C54-(F54)</f>
        <v>50</v>
      </c>
      <c r="D54" s="10" t="s">
        <v>82</v>
      </c>
      <c r="E54" s="11" t="s">
        <v>84</v>
      </c>
      <c r="F54" s="18"/>
      <c r="G54" s="25"/>
      <c r="H54" s="21"/>
      <c r="I54" s="22"/>
      <c r="J54" s="22"/>
      <c r="K54" s="23">
        <v>17.47</v>
      </c>
      <c r="L54" s="23">
        <f t="shared" si="1"/>
        <v>0</v>
      </c>
      <c r="M54" s="24"/>
      <c r="N54" s="24"/>
    </row>
    <row r="55" spans="1:14" ht="31.5">
      <c r="A55" s="9" t="s">
        <v>155</v>
      </c>
      <c r="B55" s="15">
        <v>300</v>
      </c>
      <c r="C55" s="13">
        <f>Outubro2015!C55-(F55)</f>
        <v>275</v>
      </c>
      <c r="D55" s="10" t="s">
        <v>54</v>
      </c>
      <c r="E55" s="11" t="s">
        <v>85</v>
      </c>
      <c r="F55" s="20"/>
      <c r="G55" s="25"/>
      <c r="H55" s="21"/>
      <c r="I55" s="22"/>
      <c r="J55" s="22"/>
      <c r="K55" s="23">
        <v>13.23</v>
      </c>
      <c r="L55" s="23">
        <f t="shared" si="1"/>
        <v>0</v>
      </c>
      <c r="M55" s="24"/>
      <c r="N55" s="24"/>
    </row>
    <row r="56" spans="1:14" ht="47.25">
      <c r="A56" s="9" t="s">
        <v>156</v>
      </c>
      <c r="B56" s="15">
        <v>30</v>
      </c>
      <c r="C56" s="13">
        <f>Outubro2015!C56-(F56)</f>
        <v>26</v>
      </c>
      <c r="D56" s="10" t="s">
        <v>39</v>
      </c>
      <c r="E56" s="11" t="s">
        <v>86</v>
      </c>
      <c r="F56" s="20">
        <f>2</f>
        <v>2</v>
      </c>
      <c r="G56" s="25"/>
      <c r="H56" s="21"/>
      <c r="I56" s="22">
        <v>4.3600000000000003</v>
      </c>
      <c r="J56" s="22">
        <f t="shared" si="3"/>
        <v>8.7200000000000006</v>
      </c>
      <c r="K56" s="23"/>
      <c r="L56" s="23"/>
      <c r="M56" s="24"/>
      <c r="N56" s="24"/>
    </row>
    <row r="57" spans="1:14" ht="31.5">
      <c r="A57" s="9" t="s">
        <v>157</v>
      </c>
      <c r="B57" s="15">
        <v>30</v>
      </c>
      <c r="C57" s="13">
        <f>Outubro2015!C57-(F57)</f>
        <v>28</v>
      </c>
      <c r="D57" s="10" t="s">
        <v>39</v>
      </c>
      <c r="E57" s="11" t="s">
        <v>87</v>
      </c>
      <c r="F57" s="20"/>
      <c r="G57" s="25"/>
      <c r="H57" s="21"/>
      <c r="I57" s="22"/>
      <c r="J57" s="22"/>
      <c r="K57" s="23">
        <v>8.9</v>
      </c>
      <c r="L57" s="23">
        <f t="shared" si="1"/>
        <v>0</v>
      </c>
      <c r="M57" s="24"/>
      <c r="N57" s="24"/>
    </row>
    <row r="58" spans="1:14" ht="19.5">
      <c r="A58" s="9" t="s">
        <v>158</v>
      </c>
      <c r="B58" s="15">
        <v>20</v>
      </c>
      <c r="C58" s="13">
        <f>Outubro2015!C58-(F58)</f>
        <v>18</v>
      </c>
      <c r="D58" s="10" t="s">
        <v>15</v>
      </c>
      <c r="E58" s="11" t="s">
        <v>88</v>
      </c>
      <c r="F58" s="19">
        <f>1</f>
        <v>1</v>
      </c>
      <c r="G58" s="25"/>
      <c r="H58" s="21"/>
      <c r="I58" s="22">
        <v>26.99</v>
      </c>
      <c r="J58" s="22">
        <f t="shared" si="3"/>
        <v>26.99</v>
      </c>
      <c r="K58" s="23"/>
      <c r="L58" s="23"/>
      <c r="M58" s="24"/>
      <c r="N58" s="24"/>
    </row>
    <row r="59" spans="1:14" ht="47.25">
      <c r="A59" s="9" t="s">
        <v>159</v>
      </c>
      <c r="B59" s="15">
        <v>15</v>
      </c>
      <c r="C59" s="13">
        <f>Outubro2015!C59-(F59)</f>
        <v>14</v>
      </c>
      <c r="D59" s="10" t="s">
        <v>89</v>
      </c>
      <c r="E59" s="11" t="s">
        <v>90</v>
      </c>
      <c r="F59" s="18"/>
      <c r="G59" s="25"/>
      <c r="H59" s="21"/>
      <c r="I59" s="22"/>
      <c r="J59" s="22"/>
      <c r="K59" s="23">
        <v>129.49</v>
      </c>
      <c r="L59" s="23">
        <f t="shared" si="1"/>
        <v>0</v>
      </c>
      <c r="M59" s="24"/>
      <c r="N59" s="24"/>
    </row>
    <row r="60" spans="1:14" ht="31.5">
      <c r="A60" s="9" t="s">
        <v>160</v>
      </c>
      <c r="B60" s="15">
        <v>80</v>
      </c>
      <c r="C60" s="13">
        <f>Outubro2015!C60-(F60)</f>
        <v>74</v>
      </c>
      <c r="D60" s="10" t="s">
        <v>63</v>
      </c>
      <c r="E60" s="12" t="s">
        <v>91</v>
      </c>
      <c r="F60" s="17"/>
      <c r="G60" s="21"/>
      <c r="H60" s="21"/>
      <c r="I60" s="22"/>
      <c r="J60" s="22"/>
      <c r="K60" s="23">
        <v>2.97</v>
      </c>
      <c r="L60" s="23">
        <f t="shared" si="1"/>
        <v>0</v>
      </c>
      <c r="M60" s="24"/>
      <c r="N60" s="24"/>
    </row>
    <row r="61" spans="1:14" ht="31.5">
      <c r="A61" s="9" t="s">
        <v>161</v>
      </c>
      <c r="B61" s="15">
        <v>500</v>
      </c>
      <c r="C61" s="13">
        <f>Outubro2015!C61-(F61)</f>
        <v>460</v>
      </c>
      <c r="D61" s="10" t="s">
        <v>63</v>
      </c>
      <c r="E61" s="11" t="s">
        <v>92</v>
      </c>
      <c r="F61" s="18"/>
      <c r="G61" s="25"/>
      <c r="H61" s="21"/>
      <c r="I61" s="22"/>
      <c r="J61" s="22"/>
      <c r="K61" s="23">
        <v>1.33</v>
      </c>
      <c r="L61" s="23">
        <f t="shared" si="1"/>
        <v>0</v>
      </c>
      <c r="M61" s="24"/>
      <c r="N61" s="24"/>
    </row>
    <row r="62" spans="1:14" ht="31.5">
      <c r="A62" s="9" t="s">
        <v>162</v>
      </c>
      <c r="B62" s="15">
        <v>500</v>
      </c>
      <c r="C62" s="13">
        <f>Outubro2015!C62-(F62)</f>
        <v>460</v>
      </c>
      <c r="D62" s="10" t="s">
        <v>63</v>
      </c>
      <c r="E62" s="11" t="s">
        <v>93</v>
      </c>
      <c r="F62" s="18"/>
      <c r="G62" s="25"/>
      <c r="H62" s="21"/>
      <c r="I62" s="22"/>
      <c r="J62" s="22"/>
      <c r="K62" s="23">
        <v>1.78</v>
      </c>
      <c r="L62" s="23">
        <f t="shared" si="1"/>
        <v>0</v>
      </c>
      <c r="M62" s="24"/>
      <c r="N62" s="24"/>
    </row>
    <row r="63" spans="1:14" ht="31.5">
      <c r="A63" s="9" t="s">
        <v>163</v>
      </c>
      <c r="B63" s="15">
        <v>50</v>
      </c>
      <c r="C63" s="13">
        <f>Outubro2015!C63-(F63)</f>
        <v>46</v>
      </c>
      <c r="D63" s="10" t="s">
        <v>63</v>
      </c>
      <c r="E63" s="12" t="s">
        <v>94</v>
      </c>
      <c r="F63" s="18"/>
      <c r="G63" s="25"/>
      <c r="H63" s="21"/>
      <c r="I63" s="22"/>
      <c r="J63" s="22"/>
      <c r="K63" s="23">
        <v>3.88</v>
      </c>
      <c r="L63" s="23">
        <f t="shared" si="1"/>
        <v>0</v>
      </c>
      <c r="M63" s="24"/>
      <c r="N63" s="24"/>
    </row>
    <row r="64" spans="1:14" ht="31.5">
      <c r="A64" s="9" t="s">
        <v>164</v>
      </c>
      <c r="B64" s="15">
        <v>600</v>
      </c>
      <c r="C64" s="13">
        <f>Outubro2015!C64-(F64)</f>
        <v>550</v>
      </c>
      <c r="D64" s="10" t="s">
        <v>63</v>
      </c>
      <c r="E64" s="11" t="s">
        <v>95</v>
      </c>
      <c r="F64" s="18"/>
      <c r="G64" s="25"/>
      <c r="H64" s="21"/>
      <c r="I64" s="22"/>
      <c r="J64" s="22"/>
      <c r="K64" s="23">
        <v>0.87</v>
      </c>
      <c r="L64" s="23">
        <f t="shared" si="1"/>
        <v>0</v>
      </c>
      <c r="M64" s="24"/>
      <c r="N64" s="24"/>
    </row>
    <row r="65" spans="1:14" ht="31.5">
      <c r="A65" s="9" t="s">
        <v>165</v>
      </c>
      <c r="B65" s="15">
        <v>60</v>
      </c>
      <c r="C65" s="13">
        <f>Outubro2015!C65-(F65)</f>
        <v>55</v>
      </c>
      <c r="D65" s="10" t="s">
        <v>63</v>
      </c>
      <c r="E65" s="11" t="s">
        <v>96</v>
      </c>
      <c r="F65" s="19"/>
      <c r="G65" s="25"/>
      <c r="H65" s="21"/>
      <c r="I65" s="22"/>
      <c r="J65" s="22"/>
      <c r="K65" s="23">
        <v>3.09</v>
      </c>
      <c r="L65" s="23">
        <f t="shared" si="1"/>
        <v>0</v>
      </c>
      <c r="M65" s="24"/>
      <c r="N65" s="24"/>
    </row>
    <row r="66" spans="1:14" ht="31.5">
      <c r="A66" s="9" t="s">
        <v>166</v>
      </c>
      <c r="B66" s="15">
        <v>100</v>
      </c>
      <c r="C66" s="13">
        <f>Outubro2015!C66-(F66)</f>
        <v>92</v>
      </c>
      <c r="D66" s="10" t="s">
        <v>63</v>
      </c>
      <c r="E66" s="11" t="s">
        <v>97</v>
      </c>
      <c r="F66" s="18"/>
      <c r="G66" s="25"/>
      <c r="H66" s="21"/>
      <c r="I66" s="22"/>
      <c r="J66" s="22"/>
      <c r="K66" s="23">
        <v>3.14</v>
      </c>
      <c r="L66" s="23">
        <f t="shared" si="1"/>
        <v>0</v>
      </c>
      <c r="M66" s="24"/>
      <c r="N66" s="24"/>
    </row>
    <row r="67" spans="1:14" ht="31.5">
      <c r="A67" s="9" t="s">
        <v>167</v>
      </c>
      <c r="B67" s="15">
        <v>100</v>
      </c>
      <c r="C67" s="13">
        <f>Outubro2015!C67-(F67)</f>
        <v>92</v>
      </c>
      <c r="D67" s="10" t="s">
        <v>63</v>
      </c>
      <c r="E67" s="11" t="s">
        <v>98</v>
      </c>
      <c r="F67" s="18"/>
      <c r="G67" s="25"/>
      <c r="H67" s="21"/>
      <c r="I67" s="22"/>
      <c r="J67" s="22"/>
      <c r="K67" s="23">
        <v>3.53</v>
      </c>
      <c r="L67" s="23">
        <f t="shared" si="1"/>
        <v>0</v>
      </c>
      <c r="M67" s="24"/>
      <c r="N67" s="24"/>
    </row>
    <row r="68" spans="1:14" ht="31.5">
      <c r="A68" s="9" t="s">
        <v>168</v>
      </c>
      <c r="B68" s="15">
        <v>100</v>
      </c>
      <c r="C68" s="13">
        <f>Outubro2015!C68-(F68)</f>
        <v>92</v>
      </c>
      <c r="D68" s="10" t="s">
        <v>63</v>
      </c>
      <c r="E68" s="11" t="s">
        <v>99</v>
      </c>
      <c r="F68" s="18"/>
      <c r="G68" s="25"/>
      <c r="H68" s="21"/>
      <c r="I68" s="22"/>
      <c r="J68" s="22"/>
      <c r="K68" s="23">
        <v>3.29</v>
      </c>
      <c r="L68" s="23">
        <f t="shared" si="1"/>
        <v>0</v>
      </c>
      <c r="M68" s="24"/>
      <c r="N68" s="24"/>
    </row>
    <row r="69" spans="1:14" ht="31.5">
      <c r="A69" s="9" t="s">
        <v>169</v>
      </c>
      <c r="B69" s="15">
        <v>100</v>
      </c>
      <c r="C69" s="13">
        <f>Outubro2015!C69-(F69)</f>
        <v>92</v>
      </c>
      <c r="D69" s="10" t="s">
        <v>63</v>
      </c>
      <c r="E69" s="11" t="s">
        <v>100</v>
      </c>
      <c r="F69" s="18"/>
      <c r="G69" s="25"/>
      <c r="H69" s="21"/>
      <c r="I69" s="22"/>
      <c r="J69" s="22"/>
      <c r="K69" s="23">
        <v>3.29</v>
      </c>
      <c r="L69" s="23">
        <f t="shared" si="1"/>
        <v>0</v>
      </c>
      <c r="M69" s="24"/>
      <c r="N69" s="24"/>
    </row>
    <row r="70" spans="1:14" ht="19.5">
      <c r="A70" s="9" t="s">
        <v>170</v>
      </c>
      <c r="B70" s="15">
        <v>120</v>
      </c>
      <c r="C70" s="13">
        <f>Outubro2015!C70-(F70)</f>
        <v>100</v>
      </c>
      <c r="D70" s="10" t="s">
        <v>44</v>
      </c>
      <c r="E70" s="11" t="s">
        <v>101</v>
      </c>
      <c r="F70" s="18">
        <f>10</f>
        <v>10</v>
      </c>
      <c r="G70" s="25"/>
      <c r="H70" s="21"/>
      <c r="I70" s="22"/>
      <c r="J70" s="22"/>
      <c r="K70" s="23"/>
      <c r="L70" s="23"/>
      <c r="M70" s="24">
        <v>3.99</v>
      </c>
      <c r="N70" s="24">
        <f t="shared" si="2"/>
        <v>39.900000000000006</v>
      </c>
    </row>
    <row r="71" spans="1:14" ht="47.25">
      <c r="A71" s="9" t="s">
        <v>171</v>
      </c>
      <c r="B71" s="15">
        <v>10</v>
      </c>
      <c r="C71" s="13">
        <f>Outubro2015!C71-(F71)</f>
        <v>9</v>
      </c>
      <c r="D71" s="10" t="s">
        <v>102</v>
      </c>
      <c r="E71" s="11" t="s">
        <v>103</v>
      </c>
      <c r="F71" s="18"/>
      <c r="G71" s="25"/>
      <c r="H71" s="21"/>
      <c r="I71" s="22"/>
      <c r="J71" s="22"/>
      <c r="K71" s="23">
        <v>13.4</v>
      </c>
      <c r="L71" s="23">
        <f t="shared" si="1"/>
        <v>0</v>
      </c>
      <c r="M71" s="24"/>
      <c r="N71" s="24"/>
    </row>
    <row r="72" spans="1:14" ht="19.5">
      <c r="A72" s="9" t="s">
        <v>172</v>
      </c>
      <c r="B72" s="15">
        <v>30</v>
      </c>
      <c r="C72" s="13">
        <f>Outubro2015!C72-(F72)</f>
        <v>28</v>
      </c>
      <c r="D72" s="10" t="s">
        <v>102</v>
      </c>
      <c r="E72" s="11" t="s">
        <v>104</v>
      </c>
      <c r="F72" s="20"/>
      <c r="G72" s="25"/>
      <c r="H72" s="21"/>
      <c r="I72" s="22"/>
      <c r="J72" s="22"/>
      <c r="K72" s="23">
        <v>5.7</v>
      </c>
      <c r="L72" s="23">
        <f t="shared" si="1"/>
        <v>0</v>
      </c>
      <c r="M72" s="24"/>
      <c r="N72" s="24"/>
    </row>
    <row r="73" spans="1:14" ht="19.5">
      <c r="A73" s="9" t="s">
        <v>173</v>
      </c>
      <c r="B73" s="15">
        <v>200</v>
      </c>
      <c r="C73" s="13">
        <f>Outubro2015!C73-(F73)</f>
        <v>168</v>
      </c>
      <c r="D73" s="10" t="s">
        <v>63</v>
      </c>
      <c r="E73" s="11" t="s">
        <v>105</v>
      </c>
      <c r="F73" s="20">
        <f>16</f>
        <v>16</v>
      </c>
      <c r="G73" s="25"/>
      <c r="H73" s="21"/>
      <c r="I73" s="22"/>
      <c r="J73" s="22"/>
      <c r="K73" s="23"/>
      <c r="L73" s="23"/>
      <c r="M73" s="24">
        <v>8.89</v>
      </c>
      <c r="N73" s="24">
        <f t="shared" si="2"/>
        <v>142.24</v>
      </c>
    </row>
    <row r="74" spans="1:14" ht="47.25">
      <c r="A74" s="9" t="s">
        <v>174</v>
      </c>
      <c r="B74" s="15">
        <v>20</v>
      </c>
      <c r="C74" s="13">
        <f>Outubro2015!C74-(F74)</f>
        <v>20</v>
      </c>
      <c r="D74" s="10" t="s">
        <v>44</v>
      </c>
      <c r="E74" s="11" t="s">
        <v>106</v>
      </c>
      <c r="F74" s="20"/>
      <c r="G74" s="25"/>
      <c r="H74" s="21"/>
      <c r="I74" s="22">
        <v>7.58</v>
      </c>
      <c r="J74" s="22">
        <f t="shared" ref="J74" si="4">F74*I74</f>
        <v>0</v>
      </c>
      <c r="K74" s="23"/>
      <c r="L74" s="23"/>
      <c r="M74" s="24"/>
      <c r="N74" s="24"/>
    </row>
    <row r="75" spans="1:14" ht="63">
      <c r="A75" s="9" t="s">
        <v>175</v>
      </c>
      <c r="B75" s="15">
        <v>30</v>
      </c>
      <c r="C75" s="13">
        <f>Outubro2015!C75-(F75)</f>
        <v>28</v>
      </c>
      <c r="D75" s="10" t="s">
        <v>44</v>
      </c>
      <c r="E75" s="11" t="s">
        <v>107</v>
      </c>
      <c r="F75" s="19"/>
      <c r="G75" s="25"/>
      <c r="H75" s="21"/>
      <c r="I75" s="22"/>
      <c r="J75" s="22"/>
      <c r="K75" s="23">
        <v>11.4</v>
      </c>
      <c r="L75" s="23">
        <f t="shared" ref="L75:L91" si="5">F75*K75</f>
        <v>0</v>
      </c>
      <c r="M75" s="24"/>
      <c r="N75" s="24"/>
    </row>
    <row r="76" spans="1:14" ht="19.5">
      <c r="A76" s="9" t="s">
        <v>176</v>
      </c>
      <c r="B76" s="15">
        <v>40</v>
      </c>
      <c r="C76" s="13">
        <f>Outubro2015!C76-(F76)</f>
        <v>37</v>
      </c>
      <c r="D76" s="10" t="s">
        <v>44</v>
      </c>
      <c r="E76" s="11" t="s">
        <v>108</v>
      </c>
      <c r="F76" s="18"/>
      <c r="G76" s="25"/>
      <c r="H76" s="21"/>
      <c r="I76" s="22"/>
      <c r="J76" s="22"/>
      <c r="K76" s="23">
        <v>2.1800000000000002</v>
      </c>
      <c r="L76" s="23">
        <f t="shared" si="5"/>
        <v>0</v>
      </c>
      <c r="M76" s="24"/>
      <c r="N76" s="24"/>
    </row>
    <row r="77" spans="1:14" ht="19.5">
      <c r="A77" s="9" t="s">
        <v>177</v>
      </c>
      <c r="B77" s="15">
        <v>20</v>
      </c>
      <c r="C77" s="13">
        <f>Outubro2015!C77-(F77)</f>
        <v>20</v>
      </c>
      <c r="D77" s="10" t="s">
        <v>44</v>
      </c>
      <c r="E77" s="11" t="s">
        <v>109</v>
      </c>
      <c r="F77" s="17"/>
      <c r="G77" s="21">
        <v>3.9</v>
      </c>
      <c r="H77" s="21">
        <f t="shared" ref="H77" si="6">F77*G77</f>
        <v>0</v>
      </c>
      <c r="I77" s="22"/>
      <c r="J77" s="22"/>
      <c r="K77" s="23"/>
      <c r="L77" s="23"/>
      <c r="M77" s="24"/>
      <c r="N77" s="24"/>
    </row>
    <row r="78" spans="1:14" ht="19.5">
      <c r="A78" s="9" t="s">
        <v>178</v>
      </c>
      <c r="B78" s="15">
        <v>20</v>
      </c>
      <c r="C78" s="13">
        <f>Outubro2015!C78-(F78)</f>
        <v>19</v>
      </c>
      <c r="D78" s="10" t="s">
        <v>44</v>
      </c>
      <c r="E78" s="11" t="s">
        <v>110</v>
      </c>
      <c r="F78" s="18"/>
      <c r="G78" s="25"/>
      <c r="H78" s="21"/>
      <c r="I78" s="22"/>
      <c r="J78" s="22"/>
      <c r="K78" s="23">
        <v>14.89</v>
      </c>
      <c r="L78" s="23">
        <f t="shared" si="5"/>
        <v>0</v>
      </c>
      <c r="M78" s="24"/>
      <c r="N78" s="24"/>
    </row>
    <row r="79" spans="1:14" ht="19.5">
      <c r="A79" s="9" t="s">
        <v>179</v>
      </c>
      <c r="B79" s="15">
        <v>120</v>
      </c>
      <c r="C79" s="13">
        <f>Outubro2015!C79-(F79)</f>
        <v>100</v>
      </c>
      <c r="D79" s="10" t="s">
        <v>44</v>
      </c>
      <c r="E79" s="11" t="s">
        <v>111</v>
      </c>
      <c r="F79" s="18">
        <f>10</f>
        <v>10</v>
      </c>
      <c r="G79" s="25"/>
      <c r="H79" s="21"/>
      <c r="I79" s="22"/>
      <c r="J79" s="22"/>
      <c r="K79" s="23"/>
      <c r="L79" s="23"/>
      <c r="M79" s="24">
        <v>3.7</v>
      </c>
      <c r="N79" s="24">
        <f t="shared" ref="N79:N80" si="7">F79*M79</f>
        <v>37</v>
      </c>
    </row>
    <row r="80" spans="1:14" ht="19.5">
      <c r="A80" s="9" t="s">
        <v>180</v>
      </c>
      <c r="B80" s="15">
        <v>200</v>
      </c>
      <c r="C80" s="13">
        <f>Outubro2015!C80-(F80)</f>
        <v>168</v>
      </c>
      <c r="D80" s="10" t="s">
        <v>39</v>
      </c>
      <c r="E80" s="11" t="s">
        <v>112</v>
      </c>
      <c r="F80" s="18">
        <f>16</f>
        <v>16</v>
      </c>
      <c r="G80" s="25"/>
      <c r="H80" s="21"/>
      <c r="I80" s="22"/>
      <c r="J80" s="22"/>
      <c r="K80" s="23"/>
      <c r="L80" s="23"/>
      <c r="M80" s="24">
        <v>6.34</v>
      </c>
      <c r="N80" s="24">
        <f t="shared" si="7"/>
        <v>101.44</v>
      </c>
    </row>
    <row r="81" spans="1:14" ht="19.5">
      <c r="A81" s="9" t="s">
        <v>181</v>
      </c>
      <c r="B81" s="15">
        <v>200</v>
      </c>
      <c r="C81" s="13">
        <f>Outubro2015!C81-(F81)</f>
        <v>184</v>
      </c>
      <c r="D81" s="10" t="s">
        <v>102</v>
      </c>
      <c r="E81" s="11" t="s">
        <v>113</v>
      </c>
      <c r="F81" s="18"/>
      <c r="G81" s="25"/>
      <c r="H81" s="21"/>
      <c r="I81" s="22"/>
      <c r="J81" s="22"/>
      <c r="K81" s="23">
        <v>1.18</v>
      </c>
      <c r="L81" s="23">
        <f t="shared" si="5"/>
        <v>0</v>
      </c>
      <c r="M81" s="24"/>
      <c r="N81" s="24"/>
    </row>
    <row r="82" spans="1:14" ht="19.5">
      <c r="A82" s="9" t="s">
        <v>182</v>
      </c>
      <c r="B82" s="15">
        <v>200</v>
      </c>
      <c r="C82" s="13">
        <f>Outubro2015!C82-(F82)</f>
        <v>184</v>
      </c>
      <c r="D82" s="10" t="s">
        <v>63</v>
      </c>
      <c r="E82" s="11" t="s">
        <v>114</v>
      </c>
      <c r="F82" s="19"/>
      <c r="G82" s="25"/>
      <c r="H82" s="21"/>
      <c r="I82" s="22"/>
      <c r="J82" s="22"/>
      <c r="K82" s="23">
        <v>3.6</v>
      </c>
      <c r="L82" s="23">
        <f t="shared" si="5"/>
        <v>0</v>
      </c>
      <c r="M82" s="24"/>
      <c r="N82" s="24"/>
    </row>
    <row r="83" spans="1:14" ht="19.5">
      <c r="A83" s="9" t="s">
        <v>183</v>
      </c>
      <c r="B83" s="15">
        <v>200</v>
      </c>
      <c r="C83" s="13">
        <f>Outubro2015!C83-(F83)</f>
        <v>184</v>
      </c>
      <c r="D83" s="10" t="s">
        <v>44</v>
      </c>
      <c r="E83" s="11" t="s">
        <v>115</v>
      </c>
      <c r="F83" s="18"/>
      <c r="G83" s="25"/>
      <c r="H83" s="21"/>
      <c r="I83" s="22"/>
      <c r="J83" s="22"/>
      <c r="K83" s="23">
        <v>1.0900000000000001</v>
      </c>
      <c r="L83" s="23">
        <f t="shared" si="5"/>
        <v>0</v>
      </c>
      <c r="M83" s="24"/>
      <c r="N83" s="24"/>
    </row>
    <row r="84" spans="1:14" ht="19.5">
      <c r="A84" s="9" t="s">
        <v>184</v>
      </c>
      <c r="B84" s="15">
        <v>300</v>
      </c>
      <c r="C84" s="13">
        <f>Outubro2015!C84-(F84)</f>
        <v>275</v>
      </c>
      <c r="D84" s="10" t="s">
        <v>63</v>
      </c>
      <c r="E84" s="11" t="s">
        <v>116</v>
      </c>
      <c r="F84" s="18"/>
      <c r="G84" s="25"/>
      <c r="H84" s="21"/>
      <c r="I84" s="22"/>
      <c r="J84" s="22"/>
      <c r="K84" s="23">
        <v>1.38</v>
      </c>
      <c r="L84" s="23">
        <f t="shared" si="5"/>
        <v>0</v>
      </c>
      <c r="M84" s="24"/>
      <c r="N84" s="24"/>
    </row>
    <row r="85" spans="1:14" ht="19.5">
      <c r="A85" s="9" t="s">
        <v>185</v>
      </c>
      <c r="B85" s="15">
        <v>100</v>
      </c>
      <c r="C85" s="13">
        <f>Outubro2015!C85-(F85)</f>
        <v>92</v>
      </c>
      <c r="D85" s="10" t="s">
        <v>63</v>
      </c>
      <c r="E85" s="11" t="s">
        <v>117</v>
      </c>
      <c r="F85" s="18"/>
      <c r="G85" s="25"/>
      <c r="H85" s="21"/>
      <c r="I85" s="22"/>
      <c r="J85" s="22"/>
      <c r="K85" s="23">
        <v>0.9</v>
      </c>
      <c r="L85" s="23">
        <f t="shared" si="5"/>
        <v>0</v>
      </c>
      <c r="M85" s="24"/>
      <c r="N85" s="24"/>
    </row>
    <row r="86" spans="1:14" ht="19.5">
      <c r="A86" s="9" t="s">
        <v>186</v>
      </c>
      <c r="B86" s="15">
        <v>160</v>
      </c>
      <c r="C86" s="13">
        <f>Outubro2015!C86-(F86)</f>
        <v>147</v>
      </c>
      <c r="D86" s="10" t="s">
        <v>44</v>
      </c>
      <c r="E86" s="11" t="s">
        <v>118</v>
      </c>
      <c r="F86" s="18"/>
      <c r="G86" s="25"/>
      <c r="H86" s="21"/>
      <c r="I86" s="22"/>
      <c r="J86" s="22"/>
      <c r="K86" s="23">
        <v>4.87</v>
      </c>
      <c r="L86" s="23">
        <f t="shared" si="5"/>
        <v>0</v>
      </c>
      <c r="M86" s="24"/>
      <c r="N86" s="24"/>
    </row>
    <row r="87" spans="1:14" ht="19.5">
      <c r="A87" s="9" t="s">
        <v>187</v>
      </c>
      <c r="B87" s="15">
        <v>100</v>
      </c>
      <c r="C87" s="13">
        <f>Outubro2015!C87-(F87)</f>
        <v>92</v>
      </c>
      <c r="D87" s="10" t="s">
        <v>102</v>
      </c>
      <c r="E87" s="11" t="s">
        <v>119</v>
      </c>
      <c r="F87" s="18"/>
      <c r="G87" s="25"/>
      <c r="H87" s="21"/>
      <c r="I87" s="22"/>
      <c r="J87" s="22"/>
      <c r="K87" s="23">
        <v>2.19</v>
      </c>
      <c r="L87" s="23">
        <f t="shared" si="5"/>
        <v>0</v>
      </c>
      <c r="M87" s="24"/>
      <c r="N87" s="24"/>
    </row>
    <row r="88" spans="1:14" ht="31.5">
      <c r="A88" s="9" t="s">
        <v>188</v>
      </c>
      <c r="B88" s="16">
        <v>50</v>
      </c>
      <c r="C88" s="13">
        <f>Outubro2015!C88-(F88)</f>
        <v>46</v>
      </c>
      <c r="D88" s="10" t="s">
        <v>120</v>
      </c>
      <c r="E88" s="11" t="s">
        <v>121</v>
      </c>
      <c r="F88" s="18"/>
      <c r="G88" s="25"/>
      <c r="H88" s="21"/>
      <c r="I88" s="22"/>
      <c r="J88" s="22"/>
      <c r="K88" s="23">
        <v>4.58</v>
      </c>
      <c r="L88" s="23">
        <f t="shared" si="5"/>
        <v>0</v>
      </c>
      <c r="M88" s="24"/>
      <c r="N88" s="24"/>
    </row>
    <row r="89" spans="1:14" ht="19.5">
      <c r="A89" s="9" t="s">
        <v>189</v>
      </c>
      <c r="B89" s="15">
        <v>120</v>
      </c>
      <c r="C89" s="13">
        <f>Outubro2015!C89-(F89)</f>
        <v>110</v>
      </c>
      <c r="D89" s="10" t="s">
        <v>44</v>
      </c>
      <c r="E89" s="11" t="s">
        <v>122</v>
      </c>
      <c r="F89" s="20"/>
      <c r="G89" s="25"/>
      <c r="H89" s="21"/>
      <c r="I89" s="22"/>
      <c r="J89" s="22"/>
      <c r="K89" s="23">
        <v>4.6100000000000003</v>
      </c>
      <c r="L89" s="23">
        <f t="shared" si="5"/>
        <v>0</v>
      </c>
      <c r="M89" s="24"/>
      <c r="N89" s="24"/>
    </row>
    <row r="90" spans="1:14" ht="19.5">
      <c r="A90" s="9" t="s">
        <v>190</v>
      </c>
      <c r="B90" s="15">
        <v>120</v>
      </c>
      <c r="C90" s="13">
        <f>Outubro2015!C90-(F90)</f>
        <v>110</v>
      </c>
      <c r="D90" s="10" t="s">
        <v>44</v>
      </c>
      <c r="E90" s="11" t="s">
        <v>123</v>
      </c>
      <c r="F90" s="20"/>
      <c r="G90" s="25"/>
      <c r="H90" s="21"/>
      <c r="I90" s="22"/>
      <c r="J90" s="22"/>
      <c r="K90" s="23">
        <v>4.13</v>
      </c>
      <c r="L90" s="23">
        <f t="shared" si="5"/>
        <v>0</v>
      </c>
      <c r="M90" s="24"/>
      <c r="N90" s="24"/>
    </row>
    <row r="91" spans="1:14" ht="19.5">
      <c r="A91" s="9" t="s">
        <v>191</v>
      </c>
      <c r="B91" s="15">
        <v>48</v>
      </c>
      <c r="C91" s="13">
        <f>Outubro2015!C91-(F91)</f>
        <v>44</v>
      </c>
      <c r="D91" s="10" t="s">
        <v>44</v>
      </c>
      <c r="E91" s="11" t="s">
        <v>124</v>
      </c>
      <c r="F91" s="20"/>
      <c r="G91" s="25"/>
      <c r="H91" s="21"/>
      <c r="I91" s="22"/>
      <c r="J91" s="22"/>
      <c r="K91" s="23">
        <v>4.99</v>
      </c>
      <c r="L91" s="23">
        <f t="shared" si="5"/>
        <v>0</v>
      </c>
      <c r="M91" s="24"/>
      <c r="N91" s="24"/>
    </row>
    <row r="92" spans="1:14" ht="20.25">
      <c r="A92" s="43" t="s">
        <v>13</v>
      </c>
      <c r="B92" s="43"/>
      <c r="C92" s="43"/>
      <c r="D92" s="43"/>
      <c r="E92" s="43"/>
      <c r="F92" s="44"/>
      <c r="G92" s="45">
        <f>SUM(H9:H91)</f>
        <v>2820.82</v>
      </c>
      <c r="H92" s="46"/>
      <c r="I92" s="47">
        <f>SUM(J9:J91)</f>
        <v>2229.39</v>
      </c>
      <c r="J92" s="48"/>
      <c r="K92" s="49">
        <f>SUM(L9:L91)</f>
        <v>0</v>
      </c>
      <c r="L92" s="50"/>
      <c r="M92" s="51">
        <f>SUM(N9:N91)</f>
        <v>1407.3000000000002</v>
      </c>
      <c r="N92" s="52"/>
    </row>
  </sheetData>
  <mergeCells count="19">
    <mergeCell ref="M7:N7"/>
    <mergeCell ref="A92:F92"/>
    <mergeCell ref="G92:H92"/>
    <mergeCell ref="I92:J92"/>
    <mergeCell ref="K92:L92"/>
    <mergeCell ref="M92:N92"/>
    <mergeCell ref="A2:L2"/>
    <mergeCell ref="A3:L3"/>
    <mergeCell ref="A4:L4"/>
    <mergeCell ref="A5:L5"/>
    <mergeCell ref="A7:A8"/>
    <mergeCell ref="B7:B8"/>
    <mergeCell ref="C7:C8"/>
    <mergeCell ref="D7:D8"/>
    <mergeCell ref="E7:E8"/>
    <mergeCell ref="F7:F8"/>
    <mergeCell ref="G7:H7"/>
    <mergeCell ref="I7:J7"/>
    <mergeCell ref="K7:L7"/>
  </mergeCells>
  <conditionalFormatting sqref="C9:C91">
    <cfRule type="cellIs" dxfId="9" priority="1" operator="lessThan">
      <formula>1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92"/>
  <sheetViews>
    <sheetView topLeftCell="A74" zoomScale="80" zoomScaleNormal="80" workbookViewId="0">
      <selection sqref="A1:N92"/>
    </sheetView>
  </sheetViews>
  <sheetFormatPr defaultRowHeight="15"/>
  <cols>
    <col min="2" max="2" width="12.7109375" customWidth="1"/>
    <col min="3" max="3" width="13.28515625" customWidth="1"/>
    <col min="5" max="5" width="52.42578125" customWidth="1"/>
    <col min="6" max="6" width="18.28515625" customWidth="1"/>
    <col min="8" max="8" width="15" customWidth="1"/>
    <col min="10" max="10" width="14.140625" customWidth="1"/>
    <col min="12" max="12" width="14.28515625" customWidth="1"/>
    <col min="14" max="14" width="13.85546875" customWidth="1"/>
  </cols>
  <sheetData>
    <row r="1" spans="1:14">
      <c r="A1" s="1"/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1"/>
      <c r="N2" s="1"/>
    </row>
    <row r="3" spans="1:14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1"/>
      <c r="N3" s="1"/>
    </row>
    <row r="4" spans="1:14">
      <c r="A4" s="54" t="s">
        <v>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1"/>
      <c r="N4" s="1"/>
    </row>
    <row r="5" spans="1:14">
      <c r="A5" s="54" t="s">
        <v>125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1"/>
      <c r="N5" s="1"/>
    </row>
    <row r="6" spans="1:14" ht="18.75">
      <c r="A6" s="3"/>
      <c r="B6" s="3"/>
      <c r="C6" s="3"/>
      <c r="D6" s="3"/>
      <c r="E6" s="3"/>
      <c r="F6" s="3"/>
      <c r="G6" s="3"/>
      <c r="H6" s="3"/>
      <c r="I6" s="4"/>
      <c r="J6" s="4"/>
      <c r="K6" s="4"/>
      <c r="L6" s="4"/>
      <c r="M6" s="1"/>
      <c r="N6" s="1"/>
    </row>
    <row r="7" spans="1:14" ht="19.5">
      <c r="A7" s="56" t="s">
        <v>3</v>
      </c>
      <c r="B7" s="56" t="s">
        <v>4</v>
      </c>
      <c r="C7" s="57" t="s">
        <v>5</v>
      </c>
      <c r="D7" s="56" t="s">
        <v>6</v>
      </c>
      <c r="E7" s="56" t="s">
        <v>7</v>
      </c>
      <c r="F7" s="59" t="s">
        <v>8</v>
      </c>
      <c r="G7" s="61" t="s">
        <v>9</v>
      </c>
      <c r="H7" s="61"/>
      <c r="I7" s="62" t="s">
        <v>192</v>
      </c>
      <c r="J7" s="62"/>
      <c r="K7" s="63" t="s">
        <v>10</v>
      </c>
      <c r="L7" s="63"/>
      <c r="M7" s="53" t="s">
        <v>11</v>
      </c>
      <c r="N7" s="53"/>
    </row>
    <row r="8" spans="1:14" ht="19.5">
      <c r="A8" s="56"/>
      <c r="B8" s="56"/>
      <c r="C8" s="58"/>
      <c r="D8" s="56"/>
      <c r="E8" s="56"/>
      <c r="F8" s="60"/>
      <c r="G8" s="5" t="s">
        <v>12</v>
      </c>
      <c r="H8" s="5" t="s">
        <v>13</v>
      </c>
      <c r="I8" s="6" t="s">
        <v>12</v>
      </c>
      <c r="J8" s="6" t="s">
        <v>13</v>
      </c>
      <c r="K8" s="7" t="s">
        <v>12</v>
      </c>
      <c r="L8" s="7" t="s">
        <v>13</v>
      </c>
      <c r="M8" s="8" t="s">
        <v>12</v>
      </c>
      <c r="N8" s="8" t="s">
        <v>13</v>
      </c>
    </row>
    <row r="9" spans="1:14" ht="19.5">
      <c r="A9" s="9" t="s">
        <v>14</v>
      </c>
      <c r="B9" s="15">
        <v>4000</v>
      </c>
      <c r="C9" s="13">
        <f>Novembro2015!C9-(F9)</f>
        <v>2998</v>
      </c>
      <c r="D9" s="10" t="s">
        <v>15</v>
      </c>
      <c r="E9" s="11" t="s">
        <v>33</v>
      </c>
      <c r="F9" s="17">
        <f>120+216+216</f>
        <v>552</v>
      </c>
      <c r="G9" s="21"/>
      <c r="H9" s="21"/>
      <c r="I9" s="22">
        <v>1.94</v>
      </c>
      <c r="J9" s="22">
        <f>F9*I9</f>
        <v>1070.8799999999999</v>
      </c>
      <c r="K9" s="23"/>
      <c r="L9" s="23"/>
      <c r="M9" s="24"/>
      <c r="N9" s="24"/>
    </row>
    <row r="10" spans="1:14" ht="31.5">
      <c r="A10" s="9" t="s">
        <v>16</v>
      </c>
      <c r="B10" s="15">
        <v>800</v>
      </c>
      <c r="C10" s="13">
        <f>Novembro2015!C10-(F10)</f>
        <v>562</v>
      </c>
      <c r="D10" s="10" t="s">
        <v>15</v>
      </c>
      <c r="E10" s="11" t="s">
        <v>34</v>
      </c>
      <c r="F10" s="18">
        <f>50+10+50</f>
        <v>110</v>
      </c>
      <c r="G10" s="25">
        <v>3.71</v>
      </c>
      <c r="H10" s="21">
        <f t="shared" ref="H10:H46" si="0">F10*G10</f>
        <v>408.1</v>
      </c>
      <c r="I10" s="22"/>
      <c r="J10" s="22"/>
      <c r="K10" s="23"/>
      <c r="L10" s="23"/>
      <c r="M10" s="24"/>
      <c r="N10" s="24"/>
    </row>
    <row r="11" spans="1:14" ht="31.5">
      <c r="A11" s="9" t="s">
        <v>17</v>
      </c>
      <c r="B11" s="15">
        <v>800</v>
      </c>
      <c r="C11" s="13">
        <f>Novembro2015!C11-(F11)</f>
        <v>626</v>
      </c>
      <c r="D11" s="10" t="s">
        <v>35</v>
      </c>
      <c r="E11" s="11" t="s">
        <v>36</v>
      </c>
      <c r="F11" s="18">
        <f>35+40+35</f>
        <v>110</v>
      </c>
      <c r="G11" s="25"/>
      <c r="H11" s="21"/>
      <c r="I11" s="22"/>
      <c r="J11" s="22"/>
      <c r="K11" s="23">
        <v>2.04</v>
      </c>
      <c r="L11" s="23">
        <f t="shared" ref="L11:L72" si="1">F11*K11</f>
        <v>224.4</v>
      </c>
      <c r="M11" s="24"/>
      <c r="N11" s="24"/>
    </row>
    <row r="12" spans="1:14" ht="19.5">
      <c r="A12" s="9" t="s">
        <v>18</v>
      </c>
      <c r="B12" s="15">
        <v>60</v>
      </c>
      <c r="C12" s="13">
        <f>Novembro2015!C12-(F12)</f>
        <v>47</v>
      </c>
      <c r="D12" s="10" t="s">
        <v>15</v>
      </c>
      <c r="E12" s="11" t="s">
        <v>37</v>
      </c>
      <c r="F12" s="18">
        <f>2+3+3</f>
        <v>8</v>
      </c>
      <c r="G12" s="25"/>
      <c r="H12" s="21"/>
      <c r="I12" s="22"/>
      <c r="J12" s="22"/>
      <c r="K12" s="23">
        <v>1.58</v>
      </c>
      <c r="L12" s="23">
        <f t="shared" si="1"/>
        <v>12.64</v>
      </c>
      <c r="M12" s="24"/>
      <c r="N12" s="24"/>
    </row>
    <row r="13" spans="1:14" ht="19.5">
      <c r="A13" s="9" t="s">
        <v>19</v>
      </c>
      <c r="B13" s="15">
        <v>1200</v>
      </c>
      <c r="C13" s="13">
        <f>Novembro2015!C13-(F13)</f>
        <v>836</v>
      </c>
      <c r="D13" s="10" t="s">
        <v>15</v>
      </c>
      <c r="E13" s="11" t="s">
        <v>38</v>
      </c>
      <c r="F13" s="18">
        <f>24+70+70</f>
        <v>164</v>
      </c>
      <c r="G13" s="25"/>
      <c r="H13" s="21"/>
      <c r="I13" s="22"/>
      <c r="J13" s="22"/>
      <c r="K13" s="23"/>
      <c r="L13" s="23"/>
      <c r="M13" s="24">
        <v>2.27</v>
      </c>
      <c r="N13" s="24">
        <f t="shared" ref="N13:N73" si="2">F13*M13</f>
        <v>372.28000000000003</v>
      </c>
    </row>
    <row r="14" spans="1:14" ht="31.5">
      <c r="A14" s="9" t="s">
        <v>20</v>
      </c>
      <c r="B14" s="15">
        <v>150</v>
      </c>
      <c r="C14" s="13">
        <f>Novembro2015!C14-(F14)</f>
        <v>106</v>
      </c>
      <c r="D14" s="10" t="s">
        <v>39</v>
      </c>
      <c r="E14" s="11" t="s">
        <v>40</v>
      </c>
      <c r="F14" s="19">
        <f>8+4+8</f>
        <v>20</v>
      </c>
      <c r="G14" s="25">
        <v>2.46</v>
      </c>
      <c r="H14" s="21">
        <f t="shared" si="0"/>
        <v>49.2</v>
      </c>
      <c r="I14" s="22"/>
      <c r="J14" s="22"/>
      <c r="K14" s="23"/>
      <c r="L14" s="23"/>
      <c r="M14" s="24"/>
      <c r="N14" s="24"/>
    </row>
    <row r="15" spans="1:14" ht="19.5">
      <c r="A15" s="9" t="s">
        <v>21</v>
      </c>
      <c r="B15" s="15">
        <v>150</v>
      </c>
      <c r="C15" s="13">
        <f>Novembro2015!C15-(F15)</f>
        <v>118</v>
      </c>
      <c r="D15" s="10" t="s">
        <v>39</v>
      </c>
      <c r="E15" s="11" t="s">
        <v>41</v>
      </c>
      <c r="F15" s="18">
        <f>10+9</f>
        <v>19</v>
      </c>
      <c r="G15" s="25"/>
      <c r="H15" s="21"/>
      <c r="I15" s="22"/>
      <c r="J15" s="22"/>
      <c r="K15" s="23">
        <v>2.39</v>
      </c>
      <c r="L15" s="23">
        <f t="shared" si="1"/>
        <v>45.410000000000004</v>
      </c>
      <c r="M15" s="24"/>
      <c r="N15" s="24"/>
    </row>
    <row r="16" spans="1:14" ht="19.5">
      <c r="A16" s="9" t="s">
        <v>22</v>
      </c>
      <c r="B16" s="15">
        <v>1200</v>
      </c>
      <c r="C16" s="13">
        <f>Novembro2015!C16-(F16)</f>
        <v>836</v>
      </c>
      <c r="D16" s="10" t="s">
        <v>35</v>
      </c>
      <c r="E16" s="11" t="s">
        <v>42</v>
      </c>
      <c r="F16" s="18">
        <f>72+20+72</f>
        <v>164</v>
      </c>
      <c r="G16" s="25">
        <v>3.12</v>
      </c>
      <c r="H16" s="21">
        <f t="shared" si="0"/>
        <v>511.68</v>
      </c>
      <c r="I16" s="22"/>
      <c r="J16" s="22"/>
      <c r="K16" s="23"/>
      <c r="L16" s="23"/>
      <c r="M16" s="24"/>
      <c r="N16" s="24"/>
    </row>
    <row r="17" spans="1:14" ht="19.5">
      <c r="A17" s="9" t="s">
        <v>23</v>
      </c>
      <c r="B17" s="15">
        <v>1200</v>
      </c>
      <c r="C17" s="13">
        <f>Novembro2015!C17-(F17)</f>
        <v>836</v>
      </c>
      <c r="D17" s="10" t="s">
        <v>35</v>
      </c>
      <c r="E17" s="11" t="s">
        <v>43</v>
      </c>
      <c r="F17" s="18">
        <f>72+20+72</f>
        <v>164</v>
      </c>
      <c r="G17" s="25">
        <v>3.07</v>
      </c>
      <c r="H17" s="21">
        <f t="shared" si="0"/>
        <v>503.47999999999996</v>
      </c>
      <c r="I17" s="22"/>
      <c r="J17" s="22"/>
      <c r="K17" s="23"/>
      <c r="L17" s="23"/>
      <c r="M17" s="24"/>
      <c r="N17" s="24"/>
    </row>
    <row r="18" spans="1:14" ht="19.5">
      <c r="A18" s="9" t="s">
        <v>24</v>
      </c>
      <c r="B18" s="15">
        <v>400</v>
      </c>
      <c r="C18" s="13">
        <f>Novembro2015!C18-(F18)</f>
        <v>278</v>
      </c>
      <c r="D18" s="10" t="s">
        <v>44</v>
      </c>
      <c r="E18" s="11" t="s">
        <v>45</v>
      </c>
      <c r="F18" s="18">
        <f>10+22+22</f>
        <v>54</v>
      </c>
      <c r="G18" s="25"/>
      <c r="H18" s="21"/>
      <c r="I18" s="22"/>
      <c r="J18" s="22"/>
      <c r="K18" s="23"/>
      <c r="L18" s="23"/>
      <c r="M18" s="24">
        <v>3.38</v>
      </c>
      <c r="N18" s="24">
        <f t="shared" si="2"/>
        <v>182.51999999999998</v>
      </c>
    </row>
    <row r="19" spans="1:14" ht="19.5">
      <c r="A19" s="9" t="s">
        <v>25</v>
      </c>
      <c r="B19" s="15">
        <v>220</v>
      </c>
      <c r="C19" s="13">
        <f>Novembro2015!C19-(F19)</f>
        <v>172</v>
      </c>
      <c r="D19" s="10" t="s">
        <v>46</v>
      </c>
      <c r="E19" s="11" t="s">
        <v>47</v>
      </c>
      <c r="F19" s="18">
        <f>16+14</f>
        <v>30</v>
      </c>
      <c r="G19" s="25"/>
      <c r="H19" s="21"/>
      <c r="I19" s="22"/>
      <c r="J19" s="22"/>
      <c r="K19" s="23">
        <v>4.03</v>
      </c>
      <c r="L19" s="23">
        <f t="shared" si="1"/>
        <v>120.9</v>
      </c>
      <c r="M19" s="24"/>
      <c r="N19" s="24"/>
    </row>
    <row r="20" spans="1:14" ht="19.5">
      <c r="A20" s="9" t="s">
        <v>26</v>
      </c>
      <c r="B20" s="15">
        <v>450</v>
      </c>
      <c r="C20" s="13">
        <f>Novembro2015!C20-(F20)</f>
        <v>322</v>
      </c>
      <c r="D20" s="10" t="s">
        <v>39</v>
      </c>
      <c r="E20" s="11" t="s">
        <v>48</v>
      </c>
      <c r="F20" s="18">
        <f>30+16+16</f>
        <v>62</v>
      </c>
      <c r="G20" s="25"/>
      <c r="H20" s="21"/>
      <c r="I20" s="22">
        <v>12.22</v>
      </c>
      <c r="J20" s="22">
        <f t="shared" ref="J20:J58" si="3">F20*I20</f>
        <v>757.64</v>
      </c>
      <c r="K20" s="23"/>
      <c r="L20" s="23"/>
      <c r="M20" s="24"/>
      <c r="N20" s="24"/>
    </row>
    <row r="21" spans="1:14" ht="19.5">
      <c r="A21" s="9" t="s">
        <v>28</v>
      </c>
      <c r="B21" s="15">
        <v>300</v>
      </c>
      <c r="C21" s="13">
        <f>Novembro2015!C21-(F21)</f>
        <v>235</v>
      </c>
      <c r="D21" s="10" t="s">
        <v>35</v>
      </c>
      <c r="E21" s="11" t="s">
        <v>27</v>
      </c>
      <c r="F21" s="20">
        <f>12+14+14</f>
        <v>40</v>
      </c>
      <c r="G21" s="25"/>
      <c r="H21" s="21"/>
      <c r="I21" s="22"/>
      <c r="J21" s="22"/>
      <c r="K21" s="23">
        <v>3.05</v>
      </c>
      <c r="L21" s="23">
        <f t="shared" si="1"/>
        <v>122</v>
      </c>
      <c r="M21" s="24"/>
      <c r="N21" s="24"/>
    </row>
    <row r="22" spans="1:14" ht="19.5">
      <c r="A22" s="9" t="s">
        <v>29</v>
      </c>
      <c r="B22" s="15">
        <v>400</v>
      </c>
      <c r="C22" s="13">
        <f>Novembro2015!C22-(F22)</f>
        <v>282</v>
      </c>
      <c r="D22" s="10" t="s">
        <v>35</v>
      </c>
      <c r="E22" s="11" t="s">
        <v>49</v>
      </c>
      <c r="F22" s="20">
        <f>23+8+23</f>
        <v>54</v>
      </c>
      <c r="G22" s="25">
        <v>1.64</v>
      </c>
      <c r="H22" s="21">
        <f t="shared" si="0"/>
        <v>88.559999999999988</v>
      </c>
      <c r="I22" s="22"/>
      <c r="J22" s="22"/>
      <c r="K22" s="23"/>
      <c r="L22" s="23"/>
      <c r="M22" s="24"/>
      <c r="N22" s="24"/>
    </row>
    <row r="23" spans="1:14" ht="19.5">
      <c r="A23" s="9" t="s">
        <v>30</v>
      </c>
      <c r="B23" s="15">
        <v>200</v>
      </c>
      <c r="C23" s="13">
        <f>Novembro2015!C23-(F23)</f>
        <v>158</v>
      </c>
      <c r="D23" s="10" t="s">
        <v>39</v>
      </c>
      <c r="E23" s="11" t="s">
        <v>50</v>
      </c>
      <c r="F23" s="20">
        <f>4+11+11</f>
        <v>26</v>
      </c>
      <c r="G23" s="25"/>
      <c r="H23" s="21"/>
      <c r="I23" s="22"/>
      <c r="J23" s="22"/>
      <c r="K23" s="23">
        <v>1.51</v>
      </c>
      <c r="L23" s="23">
        <f t="shared" si="1"/>
        <v>39.26</v>
      </c>
      <c r="M23" s="24"/>
      <c r="N23" s="24"/>
    </row>
    <row r="24" spans="1:14" ht="19.5">
      <c r="A24" s="9" t="s">
        <v>31</v>
      </c>
      <c r="B24" s="15">
        <v>800</v>
      </c>
      <c r="C24" s="13">
        <f>Novembro2015!C24-(F24)</f>
        <v>562</v>
      </c>
      <c r="D24" s="10" t="s">
        <v>44</v>
      </c>
      <c r="E24" s="11" t="s">
        <v>51</v>
      </c>
      <c r="F24" s="19">
        <f>46+16+46</f>
        <v>108</v>
      </c>
      <c r="G24" s="25">
        <v>3.68</v>
      </c>
      <c r="H24" s="21">
        <f t="shared" si="0"/>
        <v>397.44</v>
      </c>
      <c r="I24" s="22"/>
      <c r="J24" s="22"/>
      <c r="K24" s="23"/>
      <c r="L24" s="23"/>
      <c r="M24" s="24"/>
      <c r="N24" s="24"/>
    </row>
    <row r="25" spans="1:14" ht="19.5">
      <c r="A25" s="9" t="s">
        <v>32</v>
      </c>
      <c r="B25" s="15">
        <v>800</v>
      </c>
      <c r="C25" s="13">
        <f>Novembro2015!C25-(F25)</f>
        <v>562</v>
      </c>
      <c r="D25" s="10" t="s">
        <v>44</v>
      </c>
      <c r="E25" s="11" t="s">
        <v>52</v>
      </c>
      <c r="F25" s="18">
        <f>16+46+46</f>
        <v>108</v>
      </c>
      <c r="G25" s="25"/>
      <c r="H25" s="21"/>
      <c r="I25" s="22"/>
      <c r="J25" s="22"/>
      <c r="K25" s="23"/>
      <c r="L25" s="23"/>
      <c r="M25" s="24">
        <v>4.75</v>
      </c>
      <c r="N25" s="24">
        <f t="shared" si="2"/>
        <v>513</v>
      </c>
    </row>
    <row r="26" spans="1:14" ht="19.5">
      <c r="A26" s="9" t="s">
        <v>126</v>
      </c>
      <c r="B26" s="15">
        <v>800</v>
      </c>
      <c r="C26" s="13">
        <f>Novembro2015!C26-(F26)</f>
        <v>562</v>
      </c>
      <c r="D26" s="10" t="s">
        <v>44</v>
      </c>
      <c r="E26" s="11" t="s">
        <v>53</v>
      </c>
      <c r="F26" s="17">
        <f>46+16+46</f>
        <v>108</v>
      </c>
      <c r="G26" s="21">
        <v>5.88</v>
      </c>
      <c r="H26" s="21">
        <f t="shared" si="0"/>
        <v>635.04</v>
      </c>
      <c r="I26" s="22"/>
      <c r="J26" s="22"/>
      <c r="K26" s="23"/>
      <c r="L26" s="23"/>
      <c r="M26" s="24"/>
      <c r="N26" s="24"/>
    </row>
    <row r="27" spans="1:14" ht="19.5">
      <c r="A27" s="9" t="s">
        <v>127</v>
      </c>
      <c r="B27" s="15">
        <v>400</v>
      </c>
      <c r="C27" s="13">
        <f>Novembro2015!C27-(F27)</f>
        <v>304</v>
      </c>
      <c r="D27" s="10" t="s">
        <v>54</v>
      </c>
      <c r="E27" s="11" t="s">
        <v>55</v>
      </c>
      <c r="F27" s="18">
        <f>32</f>
        <v>32</v>
      </c>
      <c r="G27" s="25">
        <v>5.45</v>
      </c>
      <c r="H27" s="21">
        <f t="shared" si="0"/>
        <v>174.4</v>
      </c>
      <c r="I27" s="22"/>
      <c r="J27" s="22"/>
      <c r="K27" s="23"/>
      <c r="L27" s="23"/>
      <c r="M27" s="24"/>
      <c r="N27" s="24"/>
    </row>
    <row r="28" spans="1:14" ht="19.5">
      <c r="A28" s="9" t="s">
        <v>128</v>
      </c>
      <c r="B28" s="15">
        <v>500</v>
      </c>
      <c r="C28" s="13">
        <f>Novembro2015!C28-(F28)</f>
        <v>356</v>
      </c>
      <c r="D28" s="10" t="s">
        <v>39</v>
      </c>
      <c r="E28" s="11" t="s">
        <v>56</v>
      </c>
      <c r="F28" s="18">
        <f>35+17+17</f>
        <v>69</v>
      </c>
      <c r="G28" s="25"/>
      <c r="H28" s="21"/>
      <c r="I28" s="22">
        <v>17.57</v>
      </c>
      <c r="J28" s="22">
        <f t="shared" si="3"/>
        <v>1212.33</v>
      </c>
      <c r="K28" s="23"/>
      <c r="L28" s="23"/>
      <c r="M28" s="24"/>
      <c r="N28" s="24"/>
    </row>
    <row r="29" spans="1:14" ht="19.5">
      <c r="A29" s="9" t="s">
        <v>129</v>
      </c>
      <c r="B29" s="15">
        <v>500</v>
      </c>
      <c r="C29" s="13">
        <f>Novembro2015!C29-(F29)</f>
        <v>351</v>
      </c>
      <c r="D29" s="10" t="s">
        <v>39</v>
      </c>
      <c r="E29" s="11" t="s">
        <v>57</v>
      </c>
      <c r="F29" s="18">
        <f>17+35+17</f>
        <v>69</v>
      </c>
      <c r="G29" s="25">
        <v>11.49</v>
      </c>
      <c r="H29" s="21">
        <f t="shared" si="0"/>
        <v>792.81000000000006</v>
      </c>
      <c r="I29" s="22"/>
      <c r="J29" s="22"/>
      <c r="K29" s="23"/>
      <c r="L29" s="23"/>
      <c r="M29" s="24"/>
      <c r="N29" s="24"/>
    </row>
    <row r="30" spans="1:14" ht="19.5">
      <c r="A30" s="9" t="s">
        <v>130</v>
      </c>
      <c r="B30" s="15">
        <v>500</v>
      </c>
      <c r="C30" s="13">
        <f>Novembro2015!C30-(F30)</f>
        <v>392</v>
      </c>
      <c r="D30" s="10" t="s">
        <v>39</v>
      </c>
      <c r="E30" s="11" t="s">
        <v>58</v>
      </c>
      <c r="F30" s="18">
        <f>20+24+24</f>
        <v>68</v>
      </c>
      <c r="G30" s="25"/>
      <c r="H30" s="21"/>
      <c r="I30" s="22"/>
      <c r="J30" s="22"/>
      <c r="K30" s="23">
        <v>13.58</v>
      </c>
      <c r="L30" s="23">
        <f t="shared" si="1"/>
        <v>923.44</v>
      </c>
      <c r="M30" s="24"/>
      <c r="N30" s="24"/>
    </row>
    <row r="31" spans="1:14" ht="19.5">
      <c r="A31" s="9" t="s">
        <v>131</v>
      </c>
      <c r="B31" s="15">
        <v>500</v>
      </c>
      <c r="C31" s="13">
        <f>Novembro2015!C31-(F31)</f>
        <v>356</v>
      </c>
      <c r="D31" s="10" t="s">
        <v>39</v>
      </c>
      <c r="E31" s="11" t="s">
        <v>59</v>
      </c>
      <c r="F31" s="19">
        <f>35+17+17</f>
        <v>69</v>
      </c>
      <c r="G31" s="25"/>
      <c r="H31" s="21"/>
      <c r="I31" s="22">
        <v>16.89</v>
      </c>
      <c r="J31" s="22">
        <f t="shared" si="3"/>
        <v>1165.4100000000001</v>
      </c>
      <c r="K31" s="23"/>
      <c r="L31" s="23"/>
      <c r="M31" s="24"/>
      <c r="N31" s="24"/>
    </row>
    <row r="32" spans="1:14" ht="19.5">
      <c r="A32" s="9" t="s">
        <v>132</v>
      </c>
      <c r="B32" s="15">
        <v>500</v>
      </c>
      <c r="C32" s="13">
        <f>Novembro2015!C32-(F32)</f>
        <v>351</v>
      </c>
      <c r="D32" s="10" t="s">
        <v>39</v>
      </c>
      <c r="E32" s="11" t="s">
        <v>60</v>
      </c>
      <c r="F32" s="18">
        <f>17+35+17</f>
        <v>69</v>
      </c>
      <c r="G32" s="25">
        <v>9.1199999999999992</v>
      </c>
      <c r="H32" s="21">
        <f t="shared" si="0"/>
        <v>629.28</v>
      </c>
      <c r="I32" s="22"/>
      <c r="J32" s="22"/>
      <c r="K32" s="23"/>
      <c r="L32" s="23"/>
      <c r="M32" s="24"/>
      <c r="N32" s="24"/>
    </row>
    <row r="33" spans="1:14" ht="19.5">
      <c r="A33" s="9" t="s">
        <v>133</v>
      </c>
      <c r="B33" s="15">
        <v>400</v>
      </c>
      <c r="C33" s="13">
        <f>Novembro2015!C33-(F33)</f>
        <v>336</v>
      </c>
      <c r="D33" s="10" t="s">
        <v>54</v>
      </c>
      <c r="E33" s="11" t="s">
        <v>61</v>
      </c>
      <c r="F33" s="18">
        <f>32</f>
        <v>32</v>
      </c>
      <c r="G33" s="25"/>
      <c r="H33" s="21"/>
      <c r="I33" s="22"/>
      <c r="J33" s="22"/>
      <c r="K33" s="23">
        <v>13.25</v>
      </c>
      <c r="L33" s="23">
        <f t="shared" si="1"/>
        <v>424</v>
      </c>
      <c r="M33" s="24"/>
      <c r="N33" s="24"/>
    </row>
    <row r="34" spans="1:14" ht="19.5">
      <c r="A34" s="9" t="s">
        <v>134</v>
      </c>
      <c r="B34" s="15">
        <v>250</v>
      </c>
      <c r="C34" s="13">
        <f>Novembro2015!C34-(F34)</f>
        <v>187</v>
      </c>
      <c r="D34" s="10" t="s">
        <v>39</v>
      </c>
      <c r="E34" s="11" t="s">
        <v>62</v>
      </c>
      <c r="F34" s="18">
        <f>20</f>
        <v>20</v>
      </c>
      <c r="G34" s="25"/>
      <c r="H34" s="21"/>
      <c r="I34" s="22"/>
      <c r="J34" s="22"/>
      <c r="K34" s="23"/>
      <c r="L34" s="23"/>
      <c r="M34" s="24">
        <v>13.69</v>
      </c>
      <c r="N34" s="24">
        <f t="shared" si="2"/>
        <v>273.8</v>
      </c>
    </row>
    <row r="35" spans="1:14" ht="19.5">
      <c r="A35" s="9" t="s">
        <v>135</v>
      </c>
      <c r="B35" s="15">
        <v>150</v>
      </c>
      <c r="C35" s="13">
        <f>Novembro2015!C35-(F35)</f>
        <v>112</v>
      </c>
      <c r="D35" s="10" t="s">
        <v>63</v>
      </c>
      <c r="E35" s="11" t="s">
        <v>64</v>
      </c>
      <c r="F35" s="18">
        <f>7+5+7</f>
        <v>19</v>
      </c>
      <c r="G35" s="25">
        <v>1.1399999999999999</v>
      </c>
      <c r="H35" s="21">
        <f t="shared" si="0"/>
        <v>21.659999999999997</v>
      </c>
      <c r="I35" s="22"/>
      <c r="J35" s="22"/>
      <c r="K35" s="23"/>
      <c r="L35" s="23"/>
      <c r="M35" s="24"/>
      <c r="N35" s="24"/>
    </row>
    <row r="36" spans="1:14" ht="19.5">
      <c r="A36" s="9" t="s">
        <v>136</v>
      </c>
      <c r="B36" s="15">
        <v>100</v>
      </c>
      <c r="C36" s="13">
        <f>Novembro2015!C36-(F36)</f>
        <v>70</v>
      </c>
      <c r="D36" s="10" t="s">
        <v>63</v>
      </c>
      <c r="E36" s="11" t="s">
        <v>65</v>
      </c>
      <c r="F36" s="18">
        <f>6+10+6</f>
        <v>22</v>
      </c>
      <c r="G36" s="25">
        <v>4.9000000000000004</v>
      </c>
      <c r="H36" s="21">
        <f t="shared" si="0"/>
        <v>107.80000000000001</v>
      </c>
      <c r="I36" s="22"/>
      <c r="J36" s="22"/>
      <c r="K36" s="23"/>
      <c r="L36" s="23"/>
      <c r="M36" s="24"/>
      <c r="N36" s="24"/>
    </row>
    <row r="37" spans="1:14" ht="31.5">
      <c r="A37" s="9" t="s">
        <v>137</v>
      </c>
      <c r="B37" s="15">
        <v>200</v>
      </c>
      <c r="C37" s="13">
        <f>Novembro2015!C37-(F37)</f>
        <v>158</v>
      </c>
      <c r="D37" s="10" t="s">
        <v>39</v>
      </c>
      <c r="E37" s="11" t="s">
        <v>66</v>
      </c>
      <c r="F37" s="18">
        <f>8+9+9</f>
        <v>26</v>
      </c>
      <c r="G37" s="25"/>
      <c r="H37" s="21"/>
      <c r="I37" s="22"/>
      <c r="J37" s="22"/>
      <c r="K37" s="23">
        <v>2.98</v>
      </c>
      <c r="L37" s="23">
        <f t="shared" si="1"/>
        <v>77.48</v>
      </c>
      <c r="M37" s="24"/>
      <c r="N37" s="24"/>
    </row>
    <row r="38" spans="1:14" ht="19.5">
      <c r="A38" s="9" t="s">
        <v>138</v>
      </c>
      <c r="B38" s="15">
        <v>200</v>
      </c>
      <c r="C38" s="13">
        <f>Novembro2015!C38-(F38)</f>
        <v>152</v>
      </c>
      <c r="D38" s="10" t="s">
        <v>63</v>
      </c>
      <c r="E38" s="11" t="s">
        <v>67</v>
      </c>
      <c r="F38" s="20">
        <f>8+8</f>
        <v>16</v>
      </c>
      <c r="G38" s="25">
        <v>0.51</v>
      </c>
      <c r="H38" s="21">
        <f t="shared" si="0"/>
        <v>8.16</v>
      </c>
      <c r="I38" s="22"/>
      <c r="J38" s="22"/>
      <c r="K38" s="23"/>
      <c r="L38" s="23"/>
      <c r="M38" s="24"/>
      <c r="N38" s="24"/>
    </row>
    <row r="39" spans="1:14" ht="19.5">
      <c r="A39" s="9" t="s">
        <v>139</v>
      </c>
      <c r="B39" s="15">
        <v>100</v>
      </c>
      <c r="C39" s="13">
        <f>Novembro2015!C39-(F39)</f>
        <v>84</v>
      </c>
      <c r="D39" s="10" t="s">
        <v>39</v>
      </c>
      <c r="E39" s="11" t="s">
        <v>68</v>
      </c>
      <c r="F39" s="20">
        <f>8</f>
        <v>8</v>
      </c>
      <c r="G39" s="25"/>
      <c r="H39" s="21"/>
      <c r="I39" s="22"/>
      <c r="J39" s="22"/>
      <c r="K39" s="23">
        <v>7.43</v>
      </c>
      <c r="L39" s="23">
        <f t="shared" si="1"/>
        <v>59.44</v>
      </c>
      <c r="M39" s="24"/>
      <c r="N39" s="24"/>
    </row>
    <row r="40" spans="1:14" ht="31.5">
      <c r="A40" s="9" t="s">
        <v>140</v>
      </c>
      <c r="B40" s="15">
        <v>300</v>
      </c>
      <c r="C40" s="13">
        <f>Novembro2015!C40-(F40)</f>
        <v>236</v>
      </c>
      <c r="D40" s="10" t="s">
        <v>63</v>
      </c>
      <c r="E40" s="11" t="s">
        <v>69</v>
      </c>
      <c r="F40" s="20">
        <f>10+15+15</f>
        <v>40</v>
      </c>
      <c r="G40" s="25"/>
      <c r="H40" s="21"/>
      <c r="I40" s="22"/>
      <c r="J40" s="22"/>
      <c r="K40" s="23">
        <v>2.87</v>
      </c>
      <c r="L40" s="23">
        <f t="shared" si="1"/>
        <v>114.80000000000001</v>
      </c>
      <c r="M40" s="24"/>
      <c r="N40" s="24"/>
    </row>
    <row r="41" spans="1:14" ht="19.5">
      <c r="A41" s="9" t="s">
        <v>141</v>
      </c>
      <c r="B41" s="15">
        <v>30</v>
      </c>
      <c r="C41" s="13">
        <f>Novembro2015!C41-(F41)</f>
        <v>24</v>
      </c>
      <c r="D41" s="10" t="s">
        <v>39</v>
      </c>
      <c r="E41" s="11" t="s">
        <v>70</v>
      </c>
      <c r="F41" s="19">
        <f>2</f>
        <v>2</v>
      </c>
      <c r="G41" s="25">
        <v>7.38</v>
      </c>
      <c r="H41" s="21">
        <f t="shared" si="0"/>
        <v>14.76</v>
      </c>
      <c r="I41" s="22"/>
      <c r="J41" s="22"/>
      <c r="K41" s="23"/>
      <c r="L41" s="23"/>
      <c r="M41" s="24"/>
      <c r="N41" s="24"/>
    </row>
    <row r="42" spans="1:14" ht="19.5">
      <c r="A42" s="9" t="s">
        <v>142</v>
      </c>
      <c r="B42" s="15">
        <v>100</v>
      </c>
      <c r="C42" s="13">
        <f>Novembro2015!C42-(F42)</f>
        <v>84</v>
      </c>
      <c r="D42" s="10" t="s">
        <v>63</v>
      </c>
      <c r="E42" s="11" t="s">
        <v>71</v>
      </c>
      <c r="F42" s="18">
        <f>8</f>
        <v>8</v>
      </c>
      <c r="G42" s="25"/>
      <c r="H42" s="21"/>
      <c r="I42" s="22"/>
      <c r="J42" s="22"/>
      <c r="K42" s="23">
        <v>3.89</v>
      </c>
      <c r="L42" s="23">
        <f t="shared" si="1"/>
        <v>31.12</v>
      </c>
      <c r="M42" s="24"/>
      <c r="N42" s="24"/>
    </row>
    <row r="43" spans="1:14" ht="19.5">
      <c r="A43" s="9" t="s">
        <v>143</v>
      </c>
      <c r="B43" s="15">
        <v>20</v>
      </c>
      <c r="C43" s="13">
        <f>Novembro2015!C43-(F43)</f>
        <v>18</v>
      </c>
      <c r="D43" s="10" t="s">
        <v>39</v>
      </c>
      <c r="E43" s="11" t="s">
        <v>72</v>
      </c>
      <c r="F43" s="17">
        <f>1</f>
        <v>1</v>
      </c>
      <c r="G43" s="21"/>
      <c r="H43" s="21"/>
      <c r="I43" s="22"/>
      <c r="J43" s="22"/>
      <c r="K43" s="23">
        <v>8.1300000000000008</v>
      </c>
      <c r="L43" s="23">
        <f t="shared" si="1"/>
        <v>8.1300000000000008</v>
      </c>
      <c r="M43" s="24"/>
      <c r="N43" s="24"/>
    </row>
    <row r="44" spans="1:14" ht="19.5">
      <c r="A44" s="9" t="s">
        <v>144</v>
      </c>
      <c r="B44" s="15">
        <v>400</v>
      </c>
      <c r="C44" s="13">
        <f>Novembro2015!C44-(F44)</f>
        <v>284</v>
      </c>
      <c r="D44" s="10" t="s">
        <v>63</v>
      </c>
      <c r="E44" s="11" t="s">
        <v>73</v>
      </c>
      <c r="F44" s="18">
        <f>20+12+20</f>
        <v>52</v>
      </c>
      <c r="G44" s="25">
        <v>1.58</v>
      </c>
      <c r="H44" s="21">
        <f t="shared" si="0"/>
        <v>82.16</v>
      </c>
      <c r="I44" s="22"/>
      <c r="J44" s="22"/>
      <c r="K44" s="23"/>
      <c r="L44" s="23"/>
      <c r="M44" s="24"/>
      <c r="N44" s="24"/>
    </row>
    <row r="45" spans="1:14" ht="19.5">
      <c r="A45" s="9" t="s">
        <v>145</v>
      </c>
      <c r="B45" s="15">
        <v>400</v>
      </c>
      <c r="C45" s="13">
        <f>Novembro2015!C45-(F45)</f>
        <v>284</v>
      </c>
      <c r="D45" s="10" t="s">
        <v>63</v>
      </c>
      <c r="E45" s="11" t="s">
        <v>74</v>
      </c>
      <c r="F45" s="18">
        <f>20+12+20</f>
        <v>52</v>
      </c>
      <c r="G45" s="25">
        <v>2.54</v>
      </c>
      <c r="H45" s="21">
        <f t="shared" si="0"/>
        <v>132.08000000000001</v>
      </c>
      <c r="I45" s="22"/>
      <c r="J45" s="22"/>
      <c r="K45" s="23"/>
      <c r="L45" s="23"/>
      <c r="M45" s="24"/>
      <c r="N45" s="24"/>
    </row>
    <row r="46" spans="1:14" ht="19.5">
      <c r="A46" s="9" t="s">
        <v>146</v>
      </c>
      <c r="B46" s="15">
        <v>120</v>
      </c>
      <c r="C46" s="13">
        <f>Novembro2015!C46-(F46)</f>
        <v>81</v>
      </c>
      <c r="D46" s="10" t="s">
        <v>39</v>
      </c>
      <c r="E46" s="11" t="s">
        <v>75</v>
      </c>
      <c r="F46" s="18">
        <f>5+5+5</f>
        <v>15</v>
      </c>
      <c r="G46" s="25">
        <v>4.6399999999999997</v>
      </c>
      <c r="H46" s="21">
        <f t="shared" si="0"/>
        <v>69.599999999999994</v>
      </c>
      <c r="I46" s="22"/>
      <c r="J46" s="22"/>
      <c r="K46" s="23"/>
      <c r="L46" s="23"/>
      <c r="M46" s="24"/>
      <c r="N46" s="24"/>
    </row>
    <row r="47" spans="1:14" ht="31.5">
      <c r="A47" s="9" t="s">
        <v>147</v>
      </c>
      <c r="B47" s="15">
        <v>1200</v>
      </c>
      <c r="C47" s="13">
        <f>Novembro2015!C47-(F47)</f>
        <v>934</v>
      </c>
      <c r="D47" s="10" t="s">
        <v>63</v>
      </c>
      <c r="E47" s="11" t="s">
        <v>76</v>
      </c>
      <c r="F47" s="18">
        <f>50+58+58</f>
        <v>166</v>
      </c>
      <c r="G47" s="25"/>
      <c r="H47" s="21"/>
      <c r="I47" s="22"/>
      <c r="J47" s="22"/>
      <c r="K47" s="23">
        <v>3.65</v>
      </c>
      <c r="L47" s="23">
        <f t="shared" si="1"/>
        <v>605.9</v>
      </c>
      <c r="M47" s="24"/>
      <c r="N47" s="24"/>
    </row>
    <row r="48" spans="1:14" ht="19.5">
      <c r="A48" s="9" t="s">
        <v>148</v>
      </c>
      <c r="B48" s="15">
        <v>300</v>
      </c>
      <c r="C48" s="13">
        <f>Novembro2015!C48-(F48)</f>
        <v>213</v>
      </c>
      <c r="D48" s="10" t="s">
        <v>39</v>
      </c>
      <c r="E48" s="11" t="s">
        <v>77</v>
      </c>
      <c r="F48" s="19">
        <f>20+10+10</f>
        <v>40</v>
      </c>
      <c r="G48" s="25"/>
      <c r="H48" s="21"/>
      <c r="I48" s="22"/>
      <c r="J48" s="22"/>
      <c r="K48" s="23"/>
      <c r="L48" s="23"/>
      <c r="M48" s="24">
        <v>6.49</v>
      </c>
      <c r="N48" s="24">
        <f t="shared" si="2"/>
        <v>259.60000000000002</v>
      </c>
    </row>
    <row r="49" spans="1:14" ht="19.5">
      <c r="A49" s="9" t="s">
        <v>149</v>
      </c>
      <c r="B49" s="15">
        <v>500</v>
      </c>
      <c r="C49" s="13">
        <f>Novembro2015!C49-(F49)</f>
        <v>402</v>
      </c>
      <c r="D49" s="10" t="s">
        <v>63</v>
      </c>
      <c r="E49" s="11" t="s">
        <v>78</v>
      </c>
      <c r="F49" s="18">
        <f>20+24+24</f>
        <v>68</v>
      </c>
      <c r="G49" s="25"/>
      <c r="H49" s="21"/>
      <c r="I49" s="22">
        <v>0.99</v>
      </c>
      <c r="J49" s="22">
        <f t="shared" si="3"/>
        <v>67.319999999999993</v>
      </c>
      <c r="K49" s="23"/>
      <c r="L49" s="23"/>
      <c r="M49" s="24"/>
      <c r="N49" s="24"/>
    </row>
    <row r="50" spans="1:14" ht="47.25">
      <c r="A50" s="9" t="s">
        <v>150</v>
      </c>
      <c r="B50" s="15">
        <v>500</v>
      </c>
      <c r="C50" s="13">
        <f>Novembro2015!C50-(F50)</f>
        <v>378</v>
      </c>
      <c r="D50" s="10" t="s">
        <v>39</v>
      </c>
      <c r="E50" s="11" t="s">
        <v>79</v>
      </c>
      <c r="F50" s="18">
        <f>20+24+24</f>
        <v>68</v>
      </c>
      <c r="G50" s="25"/>
      <c r="H50" s="21"/>
      <c r="I50" s="22">
        <v>1.57</v>
      </c>
      <c r="J50" s="22">
        <f t="shared" si="3"/>
        <v>106.76</v>
      </c>
      <c r="K50" s="23"/>
      <c r="L50" s="23"/>
      <c r="M50" s="24"/>
      <c r="N50" s="24"/>
    </row>
    <row r="51" spans="1:14" ht="63">
      <c r="A51" s="9" t="s">
        <v>151</v>
      </c>
      <c r="B51" s="15">
        <v>36</v>
      </c>
      <c r="C51" s="13">
        <f>Novembro2015!C51-(F51)</f>
        <v>28</v>
      </c>
      <c r="D51" s="10" t="s">
        <v>63</v>
      </c>
      <c r="E51" s="11" t="s">
        <v>80</v>
      </c>
      <c r="F51" s="18">
        <f>2+1+1</f>
        <v>4</v>
      </c>
      <c r="G51" s="25"/>
      <c r="H51" s="21"/>
      <c r="I51" s="22">
        <v>2.0499999999999998</v>
      </c>
      <c r="J51" s="22">
        <f t="shared" si="3"/>
        <v>8.1999999999999993</v>
      </c>
      <c r="K51" s="23"/>
      <c r="L51" s="23"/>
      <c r="M51" s="24"/>
      <c r="N51" s="24"/>
    </row>
    <row r="52" spans="1:14" ht="19.5">
      <c r="A52" s="9" t="s">
        <v>152</v>
      </c>
      <c r="B52" s="15">
        <v>30</v>
      </c>
      <c r="C52" s="13">
        <f>Novembro2015!C52-(F52)</f>
        <v>26</v>
      </c>
      <c r="D52" s="10" t="s">
        <v>15</v>
      </c>
      <c r="E52" s="11" t="s">
        <v>81</v>
      </c>
      <c r="F52" s="18">
        <f>2</f>
        <v>2</v>
      </c>
      <c r="G52" s="25"/>
      <c r="H52" s="21"/>
      <c r="I52" s="22"/>
      <c r="J52" s="22"/>
      <c r="K52" s="23">
        <v>15.35</v>
      </c>
      <c r="L52" s="23">
        <f t="shared" si="1"/>
        <v>30.7</v>
      </c>
      <c r="M52" s="24"/>
      <c r="N52" s="24"/>
    </row>
    <row r="53" spans="1:14" ht="63">
      <c r="A53" s="9" t="s">
        <v>153</v>
      </c>
      <c r="B53" s="15">
        <v>60</v>
      </c>
      <c r="C53" s="13">
        <f>Novembro2015!C53-(F53)</f>
        <v>25</v>
      </c>
      <c r="D53" s="10" t="s">
        <v>82</v>
      </c>
      <c r="E53" s="11" t="s">
        <v>83</v>
      </c>
      <c r="F53" s="18">
        <f>25</f>
        <v>25</v>
      </c>
      <c r="G53" s="25"/>
      <c r="H53" s="21"/>
      <c r="I53" s="22"/>
      <c r="J53" s="22"/>
      <c r="K53" s="23">
        <v>17.47</v>
      </c>
      <c r="L53" s="23">
        <f t="shared" si="1"/>
        <v>436.75</v>
      </c>
      <c r="M53" s="24"/>
      <c r="N53" s="24"/>
    </row>
    <row r="54" spans="1:14" ht="63">
      <c r="A54" s="9" t="s">
        <v>154</v>
      </c>
      <c r="B54" s="15">
        <v>60</v>
      </c>
      <c r="C54" s="13">
        <f>Novembro2015!C54-(F54)</f>
        <v>25</v>
      </c>
      <c r="D54" s="10" t="s">
        <v>82</v>
      </c>
      <c r="E54" s="11" t="s">
        <v>84</v>
      </c>
      <c r="F54" s="18">
        <f>25</f>
        <v>25</v>
      </c>
      <c r="G54" s="25"/>
      <c r="H54" s="21"/>
      <c r="I54" s="22"/>
      <c r="J54" s="22"/>
      <c r="K54" s="23">
        <v>17.47</v>
      </c>
      <c r="L54" s="23">
        <f t="shared" si="1"/>
        <v>436.75</v>
      </c>
      <c r="M54" s="24"/>
      <c r="N54" s="24"/>
    </row>
    <row r="55" spans="1:14" ht="31.5">
      <c r="A55" s="9" t="s">
        <v>155</v>
      </c>
      <c r="B55" s="15">
        <v>300</v>
      </c>
      <c r="C55" s="13">
        <f>Novembro2015!C55-(F55)</f>
        <v>250</v>
      </c>
      <c r="D55" s="10" t="s">
        <v>54</v>
      </c>
      <c r="E55" s="11" t="s">
        <v>85</v>
      </c>
      <c r="F55" s="20">
        <f>25</f>
        <v>25</v>
      </c>
      <c r="G55" s="25"/>
      <c r="H55" s="21"/>
      <c r="I55" s="22"/>
      <c r="J55" s="22"/>
      <c r="K55" s="23">
        <v>13.23</v>
      </c>
      <c r="L55" s="23">
        <f t="shared" si="1"/>
        <v>330.75</v>
      </c>
      <c r="M55" s="24"/>
      <c r="N55" s="24"/>
    </row>
    <row r="56" spans="1:14" ht="47.25">
      <c r="A56" s="9" t="s">
        <v>156</v>
      </c>
      <c r="B56" s="15">
        <v>30</v>
      </c>
      <c r="C56" s="13">
        <f>Novembro2015!C56-(F56)</f>
        <v>24</v>
      </c>
      <c r="D56" s="10" t="s">
        <v>39</v>
      </c>
      <c r="E56" s="11" t="s">
        <v>86</v>
      </c>
      <c r="F56" s="20">
        <f>2</f>
        <v>2</v>
      </c>
      <c r="G56" s="25"/>
      <c r="H56" s="21"/>
      <c r="I56" s="22">
        <v>4.3600000000000003</v>
      </c>
      <c r="J56" s="22">
        <f t="shared" si="3"/>
        <v>8.7200000000000006</v>
      </c>
      <c r="K56" s="23"/>
      <c r="L56" s="23"/>
      <c r="M56" s="24"/>
      <c r="N56" s="24"/>
    </row>
    <row r="57" spans="1:14" ht="31.5">
      <c r="A57" s="9" t="s">
        <v>157</v>
      </c>
      <c r="B57" s="15">
        <v>30</v>
      </c>
      <c r="C57" s="13">
        <f>Novembro2015!C57-(F57)</f>
        <v>26</v>
      </c>
      <c r="D57" s="10" t="s">
        <v>39</v>
      </c>
      <c r="E57" s="11" t="s">
        <v>87</v>
      </c>
      <c r="F57" s="20">
        <f>2</f>
        <v>2</v>
      </c>
      <c r="G57" s="25"/>
      <c r="H57" s="21"/>
      <c r="I57" s="22"/>
      <c r="J57" s="22"/>
      <c r="K57" s="23">
        <v>8.9</v>
      </c>
      <c r="L57" s="23">
        <f t="shared" si="1"/>
        <v>17.8</v>
      </c>
      <c r="M57" s="24"/>
      <c r="N57" s="24"/>
    </row>
    <row r="58" spans="1:14" ht="19.5">
      <c r="A58" s="9" t="s">
        <v>158</v>
      </c>
      <c r="B58" s="15">
        <v>20</v>
      </c>
      <c r="C58" s="13">
        <f>Novembro2015!C58-(F58)</f>
        <v>17</v>
      </c>
      <c r="D58" s="10" t="s">
        <v>15</v>
      </c>
      <c r="E58" s="11" t="s">
        <v>88</v>
      </c>
      <c r="F58" s="19">
        <f>1</f>
        <v>1</v>
      </c>
      <c r="G58" s="25"/>
      <c r="H58" s="21"/>
      <c r="I58" s="22">
        <v>26.99</v>
      </c>
      <c r="J58" s="22">
        <f t="shared" si="3"/>
        <v>26.99</v>
      </c>
      <c r="K58" s="23"/>
      <c r="L58" s="23"/>
      <c r="M58" s="24"/>
      <c r="N58" s="24"/>
    </row>
    <row r="59" spans="1:14" ht="47.25">
      <c r="A59" s="9" t="s">
        <v>159</v>
      </c>
      <c r="B59" s="15">
        <v>15</v>
      </c>
      <c r="C59" s="13">
        <f>Novembro2015!C59-(F59)</f>
        <v>13</v>
      </c>
      <c r="D59" s="10" t="s">
        <v>89</v>
      </c>
      <c r="E59" s="11" t="s">
        <v>90</v>
      </c>
      <c r="F59" s="18">
        <f>1</f>
        <v>1</v>
      </c>
      <c r="G59" s="25"/>
      <c r="H59" s="21"/>
      <c r="I59" s="22"/>
      <c r="J59" s="22"/>
      <c r="K59" s="23">
        <v>129.49</v>
      </c>
      <c r="L59" s="23">
        <f t="shared" si="1"/>
        <v>129.49</v>
      </c>
      <c r="M59" s="24"/>
      <c r="N59" s="24"/>
    </row>
    <row r="60" spans="1:14" ht="31.5">
      <c r="A60" s="9" t="s">
        <v>160</v>
      </c>
      <c r="B60" s="15">
        <v>80</v>
      </c>
      <c r="C60" s="13">
        <f>Novembro2015!C60-(F60)</f>
        <v>63</v>
      </c>
      <c r="D60" s="10" t="s">
        <v>63</v>
      </c>
      <c r="E60" s="12" t="s">
        <v>91</v>
      </c>
      <c r="F60" s="17">
        <f>11</f>
        <v>11</v>
      </c>
      <c r="G60" s="21"/>
      <c r="H60" s="21"/>
      <c r="I60" s="22"/>
      <c r="J60" s="22"/>
      <c r="K60" s="23">
        <v>2.97</v>
      </c>
      <c r="L60" s="23">
        <f t="shared" si="1"/>
        <v>32.67</v>
      </c>
      <c r="M60" s="24"/>
      <c r="N60" s="24"/>
    </row>
    <row r="61" spans="1:14" ht="31.5">
      <c r="A61" s="9" t="s">
        <v>161</v>
      </c>
      <c r="B61" s="15">
        <v>500</v>
      </c>
      <c r="C61" s="13">
        <f>Novembro2015!C61-(F61)</f>
        <v>392</v>
      </c>
      <c r="D61" s="10" t="s">
        <v>63</v>
      </c>
      <c r="E61" s="11" t="s">
        <v>92</v>
      </c>
      <c r="F61" s="18">
        <f>68</f>
        <v>68</v>
      </c>
      <c r="G61" s="25"/>
      <c r="H61" s="21"/>
      <c r="I61" s="22"/>
      <c r="J61" s="22"/>
      <c r="K61" s="23">
        <v>1.33</v>
      </c>
      <c r="L61" s="23">
        <f t="shared" si="1"/>
        <v>90.44</v>
      </c>
      <c r="M61" s="24"/>
      <c r="N61" s="24"/>
    </row>
    <row r="62" spans="1:14" ht="31.5">
      <c r="A62" s="9" t="s">
        <v>162</v>
      </c>
      <c r="B62" s="15">
        <v>500</v>
      </c>
      <c r="C62" s="13">
        <f>Novembro2015!C62-(F62)</f>
        <v>392</v>
      </c>
      <c r="D62" s="10" t="s">
        <v>63</v>
      </c>
      <c r="E62" s="11" t="s">
        <v>93</v>
      </c>
      <c r="F62" s="18">
        <f>68</f>
        <v>68</v>
      </c>
      <c r="G62" s="25"/>
      <c r="H62" s="21"/>
      <c r="I62" s="22"/>
      <c r="J62" s="22"/>
      <c r="K62" s="23">
        <v>1.78</v>
      </c>
      <c r="L62" s="23">
        <f t="shared" si="1"/>
        <v>121.04</v>
      </c>
      <c r="M62" s="24"/>
      <c r="N62" s="24"/>
    </row>
    <row r="63" spans="1:14" ht="31.5">
      <c r="A63" s="9" t="s">
        <v>163</v>
      </c>
      <c r="B63" s="15">
        <v>50</v>
      </c>
      <c r="C63" s="13">
        <f>Novembro2015!C63-(F63)</f>
        <v>40</v>
      </c>
      <c r="D63" s="10" t="s">
        <v>63</v>
      </c>
      <c r="E63" s="12" t="s">
        <v>94</v>
      </c>
      <c r="F63" s="18">
        <f>6</f>
        <v>6</v>
      </c>
      <c r="G63" s="25"/>
      <c r="H63" s="21"/>
      <c r="I63" s="22"/>
      <c r="J63" s="22"/>
      <c r="K63" s="23">
        <v>3.88</v>
      </c>
      <c r="L63" s="23">
        <f t="shared" si="1"/>
        <v>23.28</v>
      </c>
      <c r="M63" s="24"/>
      <c r="N63" s="24"/>
    </row>
    <row r="64" spans="1:14" ht="31.5">
      <c r="A64" s="9" t="s">
        <v>164</v>
      </c>
      <c r="B64" s="15">
        <v>600</v>
      </c>
      <c r="C64" s="13">
        <f>Novembro2015!C64-(F64)</f>
        <v>468</v>
      </c>
      <c r="D64" s="10" t="s">
        <v>63</v>
      </c>
      <c r="E64" s="11" t="s">
        <v>95</v>
      </c>
      <c r="F64" s="18">
        <f>82</f>
        <v>82</v>
      </c>
      <c r="G64" s="25"/>
      <c r="H64" s="21"/>
      <c r="I64" s="22"/>
      <c r="J64" s="22"/>
      <c r="K64" s="23">
        <v>0.87</v>
      </c>
      <c r="L64" s="23">
        <f t="shared" si="1"/>
        <v>71.34</v>
      </c>
      <c r="M64" s="24"/>
      <c r="N64" s="24"/>
    </row>
    <row r="65" spans="1:14" ht="31.5">
      <c r="A65" s="9" t="s">
        <v>165</v>
      </c>
      <c r="B65" s="15">
        <v>60</v>
      </c>
      <c r="C65" s="13">
        <f>Novembro2015!C65-(F65)</f>
        <v>47</v>
      </c>
      <c r="D65" s="10" t="s">
        <v>63</v>
      </c>
      <c r="E65" s="11" t="s">
        <v>96</v>
      </c>
      <c r="F65" s="19">
        <f>8</f>
        <v>8</v>
      </c>
      <c r="G65" s="25"/>
      <c r="H65" s="21"/>
      <c r="I65" s="22"/>
      <c r="J65" s="22"/>
      <c r="K65" s="23">
        <v>3.09</v>
      </c>
      <c r="L65" s="23">
        <f t="shared" si="1"/>
        <v>24.72</v>
      </c>
      <c r="M65" s="24"/>
      <c r="N65" s="24"/>
    </row>
    <row r="66" spans="1:14" ht="31.5">
      <c r="A66" s="9" t="s">
        <v>166</v>
      </c>
      <c r="B66" s="15">
        <v>100</v>
      </c>
      <c r="C66" s="13">
        <f>Novembro2015!C66-(F66)</f>
        <v>79</v>
      </c>
      <c r="D66" s="10" t="s">
        <v>63</v>
      </c>
      <c r="E66" s="11" t="s">
        <v>97</v>
      </c>
      <c r="F66" s="18">
        <f>13</f>
        <v>13</v>
      </c>
      <c r="G66" s="25"/>
      <c r="H66" s="21"/>
      <c r="I66" s="22"/>
      <c r="J66" s="22"/>
      <c r="K66" s="23">
        <v>3.14</v>
      </c>
      <c r="L66" s="23">
        <f t="shared" si="1"/>
        <v>40.82</v>
      </c>
      <c r="M66" s="24"/>
      <c r="N66" s="24"/>
    </row>
    <row r="67" spans="1:14" ht="31.5">
      <c r="A67" s="9" t="s">
        <v>167</v>
      </c>
      <c r="B67" s="15">
        <v>100</v>
      </c>
      <c r="C67" s="13">
        <f>Novembro2015!C67-(F67)</f>
        <v>79</v>
      </c>
      <c r="D67" s="10" t="s">
        <v>63</v>
      </c>
      <c r="E67" s="11" t="s">
        <v>98</v>
      </c>
      <c r="F67" s="18">
        <f>13</f>
        <v>13</v>
      </c>
      <c r="G67" s="25"/>
      <c r="H67" s="21"/>
      <c r="I67" s="22"/>
      <c r="J67" s="22"/>
      <c r="K67" s="23">
        <v>3.53</v>
      </c>
      <c r="L67" s="23">
        <f t="shared" si="1"/>
        <v>45.89</v>
      </c>
      <c r="M67" s="24"/>
      <c r="N67" s="24"/>
    </row>
    <row r="68" spans="1:14" ht="31.5">
      <c r="A68" s="9" t="s">
        <v>168</v>
      </c>
      <c r="B68" s="15">
        <v>100</v>
      </c>
      <c r="C68" s="13">
        <f>Novembro2015!C68-(F68)</f>
        <v>79</v>
      </c>
      <c r="D68" s="10" t="s">
        <v>63</v>
      </c>
      <c r="E68" s="11" t="s">
        <v>99</v>
      </c>
      <c r="F68" s="18">
        <f>13</f>
        <v>13</v>
      </c>
      <c r="G68" s="25"/>
      <c r="H68" s="21"/>
      <c r="I68" s="22"/>
      <c r="J68" s="22"/>
      <c r="K68" s="23">
        <v>3.29</v>
      </c>
      <c r="L68" s="23">
        <f t="shared" si="1"/>
        <v>42.77</v>
      </c>
      <c r="M68" s="24"/>
      <c r="N68" s="24"/>
    </row>
    <row r="69" spans="1:14" ht="31.5">
      <c r="A69" s="9" t="s">
        <v>169</v>
      </c>
      <c r="B69" s="15">
        <v>100</v>
      </c>
      <c r="C69" s="13">
        <f>Novembro2015!C69-(F69)</f>
        <v>79</v>
      </c>
      <c r="D69" s="10" t="s">
        <v>63</v>
      </c>
      <c r="E69" s="11" t="s">
        <v>100</v>
      </c>
      <c r="F69" s="18">
        <f>13</f>
        <v>13</v>
      </c>
      <c r="G69" s="25"/>
      <c r="H69" s="21"/>
      <c r="I69" s="22"/>
      <c r="J69" s="22"/>
      <c r="K69" s="23">
        <v>3.29</v>
      </c>
      <c r="L69" s="23">
        <f t="shared" si="1"/>
        <v>42.77</v>
      </c>
      <c r="M69" s="24"/>
      <c r="N69" s="24"/>
    </row>
    <row r="70" spans="1:14" ht="19.5">
      <c r="A70" s="9" t="s">
        <v>170</v>
      </c>
      <c r="B70" s="15">
        <v>120</v>
      </c>
      <c r="C70" s="13">
        <f>Novembro2015!C70-(F70)</f>
        <v>84</v>
      </c>
      <c r="D70" s="10" t="s">
        <v>44</v>
      </c>
      <c r="E70" s="11" t="s">
        <v>101</v>
      </c>
      <c r="F70" s="18">
        <f>16</f>
        <v>16</v>
      </c>
      <c r="G70" s="25"/>
      <c r="H70" s="21"/>
      <c r="I70" s="22"/>
      <c r="J70" s="22"/>
      <c r="K70" s="23"/>
      <c r="L70" s="23"/>
      <c r="M70" s="24">
        <v>3.99</v>
      </c>
      <c r="N70" s="24">
        <f t="shared" si="2"/>
        <v>63.84</v>
      </c>
    </row>
    <row r="71" spans="1:14" ht="47.25">
      <c r="A71" s="9" t="s">
        <v>171</v>
      </c>
      <c r="B71" s="15">
        <v>10</v>
      </c>
      <c r="C71" s="13">
        <f>Novembro2015!C71-(F71)</f>
        <v>8</v>
      </c>
      <c r="D71" s="10" t="s">
        <v>102</v>
      </c>
      <c r="E71" s="11" t="s">
        <v>103</v>
      </c>
      <c r="F71" s="18">
        <f>1</f>
        <v>1</v>
      </c>
      <c r="G71" s="25"/>
      <c r="H71" s="21"/>
      <c r="I71" s="22"/>
      <c r="J71" s="22"/>
      <c r="K71" s="23">
        <v>13.4</v>
      </c>
      <c r="L71" s="23">
        <f t="shared" si="1"/>
        <v>13.4</v>
      </c>
      <c r="M71" s="24"/>
      <c r="N71" s="24"/>
    </row>
    <row r="72" spans="1:14" ht="19.5">
      <c r="A72" s="9" t="s">
        <v>172</v>
      </c>
      <c r="B72" s="15">
        <v>30</v>
      </c>
      <c r="C72" s="13">
        <f>Novembro2015!C72-(F72)</f>
        <v>24</v>
      </c>
      <c r="D72" s="10" t="s">
        <v>102</v>
      </c>
      <c r="E72" s="11" t="s">
        <v>104</v>
      </c>
      <c r="F72" s="20">
        <f>4</f>
        <v>4</v>
      </c>
      <c r="G72" s="25"/>
      <c r="H72" s="21"/>
      <c r="I72" s="22"/>
      <c r="J72" s="22"/>
      <c r="K72" s="23">
        <v>5.7</v>
      </c>
      <c r="L72" s="23">
        <f t="shared" si="1"/>
        <v>22.8</v>
      </c>
      <c r="M72" s="24"/>
      <c r="N72" s="24"/>
    </row>
    <row r="73" spans="1:14" ht="19.5">
      <c r="A73" s="9" t="s">
        <v>173</v>
      </c>
      <c r="B73" s="15">
        <v>200</v>
      </c>
      <c r="C73" s="13">
        <f>Novembro2015!C73-(F73)</f>
        <v>141</v>
      </c>
      <c r="D73" s="10" t="s">
        <v>63</v>
      </c>
      <c r="E73" s="11" t="s">
        <v>105</v>
      </c>
      <c r="F73" s="20">
        <f>27</f>
        <v>27</v>
      </c>
      <c r="G73" s="25"/>
      <c r="H73" s="21"/>
      <c r="I73" s="22"/>
      <c r="J73" s="22"/>
      <c r="K73" s="23"/>
      <c r="L73" s="23"/>
      <c r="M73" s="24">
        <v>8.89</v>
      </c>
      <c r="N73" s="24">
        <f t="shared" si="2"/>
        <v>240.03000000000003</v>
      </c>
    </row>
    <row r="74" spans="1:14" ht="47.25">
      <c r="A74" s="9" t="s">
        <v>174</v>
      </c>
      <c r="B74" s="15">
        <v>20</v>
      </c>
      <c r="C74" s="13">
        <f>Novembro2015!C74-(F74)</f>
        <v>20</v>
      </c>
      <c r="D74" s="10" t="s">
        <v>44</v>
      </c>
      <c r="E74" s="11" t="s">
        <v>106</v>
      </c>
      <c r="F74" s="20"/>
      <c r="G74" s="25"/>
      <c r="H74" s="21"/>
      <c r="I74" s="22">
        <v>7.58</v>
      </c>
      <c r="J74" s="22">
        <f t="shared" ref="J74" si="4">F74*I74</f>
        <v>0</v>
      </c>
      <c r="K74" s="23"/>
      <c r="L74" s="23"/>
      <c r="M74" s="24"/>
      <c r="N74" s="24"/>
    </row>
    <row r="75" spans="1:14" ht="63">
      <c r="A75" s="9" t="s">
        <v>175</v>
      </c>
      <c r="B75" s="15">
        <v>30</v>
      </c>
      <c r="C75" s="13">
        <f>Novembro2015!C75-(F75)</f>
        <v>24</v>
      </c>
      <c r="D75" s="10" t="s">
        <v>44</v>
      </c>
      <c r="E75" s="11" t="s">
        <v>107</v>
      </c>
      <c r="F75" s="19">
        <f>4</f>
        <v>4</v>
      </c>
      <c r="G75" s="25"/>
      <c r="H75" s="21"/>
      <c r="I75" s="22"/>
      <c r="J75" s="22"/>
      <c r="K75" s="23">
        <v>11.4</v>
      </c>
      <c r="L75" s="23">
        <f t="shared" ref="L75:L91" si="5">F75*K75</f>
        <v>45.6</v>
      </c>
      <c r="M75" s="24"/>
      <c r="N75" s="24"/>
    </row>
    <row r="76" spans="1:14" ht="19.5">
      <c r="A76" s="9" t="s">
        <v>176</v>
      </c>
      <c r="B76" s="15">
        <v>40</v>
      </c>
      <c r="C76" s="13">
        <f>Novembro2015!C76-(F76)</f>
        <v>32</v>
      </c>
      <c r="D76" s="10" t="s">
        <v>44</v>
      </c>
      <c r="E76" s="11" t="s">
        <v>108</v>
      </c>
      <c r="F76" s="18">
        <f>5</f>
        <v>5</v>
      </c>
      <c r="G76" s="25"/>
      <c r="H76" s="21"/>
      <c r="I76" s="22"/>
      <c r="J76" s="22"/>
      <c r="K76" s="23">
        <v>2.1800000000000002</v>
      </c>
      <c r="L76" s="23">
        <f t="shared" si="5"/>
        <v>10.9</v>
      </c>
      <c r="M76" s="24"/>
      <c r="N76" s="24"/>
    </row>
    <row r="77" spans="1:14" ht="19.5">
      <c r="A77" s="9" t="s">
        <v>177</v>
      </c>
      <c r="B77" s="15">
        <v>20</v>
      </c>
      <c r="C77" s="13">
        <f>Novembro2015!C77-(F77)</f>
        <v>20</v>
      </c>
      <c r="D77" s="10" t="s">
        <v>44</v>
      </c>
      <c r="E77" s="11" t="s">
        <v>109</v>
      </c>
      <c r="F77" s="17"/>
      <c r="G77" s="21">
        <v>3.9</v>
      </c>
      <c r="H77" s="21">
        <f t="shared" ref="H77" si="6">F77*G77</f>
        <v>0</v>
      </c>
      <c r="I77" s="22"/>
      <c r="J77" s="22"/>
      <c r="K77" s="23"/>
      <c r="L77" s="23"/>
      <c r="M77" s="24"/>
      <c r="N77" s="24"/>
    </row>
    <row r="78" spans="1:14" ht="19.5">
      <c r="A78" s="9" t="s">
        <v>178</v>
      </c>
      <c r="B78" s="15">
        <v>20</v>
      </c>
      <c r="C78" s="13">
        <f>Novembro2015!C78-(F78)</f>
        <v>17</v>
      </c>
      <c r="D78" s="10" t="s">
        <v>44</v>
      </c>
      <c r="E78" s="11" t="s">
        <v>110</v>
      </c>
      <c r="F78" s="18">
        <f>2</f>
        <v>2</v>
      </c>
      <c r="G78" s="25"/>
      <c r="H78" s="21"/>
      <c r="I78" s="22"/>
      <c r="J78" s="22"/>
      <c r="K78" s="23">
        <v>14.89</v>
      </c>
      <c r="L78" s="23">
        <f t="shared" si="5"/>
        <v>29.78</v>
      </c>
      <c r="M78" s="24"/>
      <c r="N78" s="24"/>
    </row>
    <row r="79" spans="1:14" ht="19.5">
      <c r="A79" s="9" t="s">
        <v>179</v>
      </c>
      <c r="B79" s="15">
        <v>120</v>
      </c>
      <c r="C79" s="13">
        <f>Novembro2015!C79-(F79)</f>
        <v>84</v>
      </c>
      <c r="D79" s="10" t="s">
        <v>44</v>
      </c>
      <c r="E79" s="11" t="s">
        <v>111</v>
      </c>
      <c r="F79" s="18">
        <f>16</f>
        <v>16</v>
      </c>
      <c r="G79" s="25"/>
      <c r="H79" s="21"/>
      <c r="I79" s="22"/>
      <c r="J79" s="22"/>
      <c r="K79" s="23"/>
      <c r="L79" s="23"/>
      <c r="M79" s="24">
        <v>3.7</v>
      </c>
      <c r="N79" s="24">
        <f t="shared" ref="N79:N80" si="7">F79*M79</f>
        <v>59.2</v>
      </c>
    </row>
    <row r="80" spans="1:14" ht="19.5">
      <c r="A80" s="9" t="s">
        <v>180</v>
      </c>
      <c r="B80" s="15">
        <v>200</v>
      </c>
      <c r="C80" s="13">
        <f>Novembro2015!C80-(F80)</f>
        <v>141</v>
      </c>
      <c r="D80" s="10" t="s">
        <v>39</v>
      </c>
      <c r="E80" s="11" t="s">
        <v>112</v>
      </c>
      <c r="F80" s="18">
        <f>27</f>
        <v>27</v>
      </c>
      <c r="G80" s="25"/>
      <c r="H80" s="21"/>
      <c r="I80" s="22"/>
      <c r="J80" s="22"/>
      <c r="K80" s="23"/>
      <c r="L80" s="23"/>
      <c r="M80" s="24">
        <v>6.34</v>
      </c>
      <c r="N80" s="24">
        <f t="shared" si="7"/>
        <v>171.18</v>
      </c>
    </row>
    <row r="81" spans="1:14" ht="19.5">
      <c r="A81" s="9" t="s">
        <v>181</v>
      </c>
      <c r="B81" s="15">
        <v>200</v>
      </c>
      <c r="C81" s="13">
        <f>Novembro2015!C81-(F81)</f>
        <v>157</v>
      </c>
      <c r="D81" s="10" t="s">
        <v>102</v>
      </c>
      <c r="E81" s="11" t="s">
        <v>113</v>
      </c>
      <c r="F81" s="18">
        <f>27</f>
        <v>27</v>
      </c>
      <c r="G81" s="25"/>
      <c r="H81" s="21"/>
      <c r="I81" s="22"/>
      <c r="J81" s="22"/>
      <c r="K81" s="23">
        <v>1.18</v>
      </c>
      <c r="L81" s="23">
        <f t="shared" si="5"/>
        <v>31.86</v>
      </c>
      <c r="M81" s="24"/>
      <c r="N81" s="24"/>
    </row>
    <row r="82" spans="1:14" ht="19.5">
      <c r="A82" s="9" t="s">
        <v>182</v>
      </c>
      <c r="B82" s="15">
        <v>200</v>
      </c>
      <c r="C82" s="13">
        <f>Novembro2015!C82-(F82)</f>
        <v>157</v>
      </c>
      <c r="D82" s="10" t="s">
        <v>63</v>
      </c>
      <c r="E82" s="11" t="s">
        <v>114</v>
      </c>
      <c r="F82" s="19">
        <f>27</f>
        <v>27</v>
      </c>
      <c r="G82" s="25"/>
      <c r="H82" s="21"/>
      <c r="I82" s="22"/>
      <c r="J82" s="22"/>
      <c r="K82" s="23">
        <v>3.6</v>
      </c>
      <c r="L82" s="23">
        <f t="shared" si="5"/>
        <v>97.2</v>
      </c>
      <c r="M82" s="24"/>
      <c r="N82" s="24"/>
    </row>
    <row r="83" spans="1:14" ht="19.5">
      <c r="A83" s="9" t="s">
        <v>183</v>
      </c>
      <c r="B83" s="15">
        <v>200</v>
      </c>
      <c r="C83" s="13">
        <f>Novembro2015!C83-(F83)</f>
        <v>157</v>
      </c>
      <c r="D83" s="10" t="s">
        <v>44</v>
      </c>
      <c r="E83" s="11" t="s">
        <v>115</v>
      </c>
      <c r="F83" s="18">
        <f>27</f>
        <v>27</v>
      </c>
      <c r="G83" s="25"/>
      <c r="H83" s="21"/>
      <c r="I83" s="22"/>
      <c r="J83" s="22"/>
      <c r="K83" s="23">
        <v>1.0900000000000001</v>
      </c>
      <c r="L83" s="23">
        <f t="shared" si="5"/>
        <v>29.430000000000003</v>
      </c>
      <c r="M83" s="24"/>
      <c r="N83" s="24"/>
    </row>
    <row r="84" spans="1:14" ht="19.5">
      <c r="A84" s="9" t="s">
        <v>184</v>
      </c>
      <c r="B84" s="15">
        <v>300</v>
      </c>
      <c r="C84" s="13">
        <f>Novembro2015!C84-(F84)</f>
        <v>235</v>
      </c>
      <c r="D84" s="10" t="s">
        <v>63</v>
      </c>
      <c r="E84" s="11" t="s">
        <v>116</v>
      </c>
      <c r="F84" s="18">
        <f>40</f>
        <v>40</v>
      </c>
      <c r="G84" s="25"/>
      <c r="H84" s="21"/>
      <c r="I84" s="22"/>
      <c r="J84" s="22"/>
      <c r="K84" s="23">
        <v>1.38</v>
      </c>
      <c r="L84" s="23">
        <f t="shared" si="5"/>
        <v>55.199999999999996</v>
      </c>
      <c r="M84" s="24"/>
      <c r="N84" s="24"/>
    </row>
    <row r="85" spans="1:14" ht="19.5">
      <c r="A85" s="9" t="s">
        <v>185</v>
      </c>
      <c r="B85" s="15">
        <v>100</v>
      </c>
      <c r="C85" s="13">
        <f>Novembro2015!C85-(F85)</f>
        <v>79</v>
      </c>
      <c r="D85" s="10" t="s">
        <v>63</v>
      </c>
      <c r="E85" s="11" t="s">
        <v>117</v>
      </c>
      <c r="F85" s="18">
        <f>13</f>
        <v>13</v>
      </c>
      <c r="G85" s="25"/>
      <c r="H85" s="21"/>
      <c r="I85" s="22"/>
      <c r="J85" s="22"/>
      <c r="K85" s="23">
        <v>0.9</v>
      </c>
      <c r="L85" s="23">
        <f t="shared" si="5"/>
        <v>11.700000000000001</v>
      </c>
      <c r="M85" s="24"/>
      <c r="N85" s="24"/>
    </row>
    <row r="86" spans="1:14" ht="19.5">
      <c r="A86" s="9" t="s">
        <v>186</v>
      </c>
      <c r="B86" s="15">
        <v>160</v>
      </c>
      <c r="C86" s="13">
        <f>Novembro2015!C86-(F86)</f>
        <v>125</v>
      </c>
      <c r="D86" s="10" t="s">
        <v>44</v>
      </c>
      <c r="E86" s="11" t="s">
        <v>118</v>
      </c>
      <c r="F86" s="18">
        <f>22</f>
        <v>22</v>
      </c>
      <c r="G86" s="25"/>
      <c r="H86" s="21"/>
      <c r="I86" s="22"/>
      <c r="J86" s="22"/>
      <c r="K86" s="23">
        <v>4.87</v>
      </c>
      <c r="L86" s="23">
        <f t="shared" si="5"/>
        <v>107.14</v>
      </c>
      <c r="M86" s="24"/>
      <c r="N86" s="24"/>
    </row>
    <row r="87" spans="1:14" ht="19.5">
      <c r="A87" s="9" t="s">
        <v>187</v>
      </c>
      <c r="B87" s="15">
        <v>100</v>
      </c>
      <c r="C87" s="13">
        <f>Novembro2015!C87-(F87)</f>
        <v>79</v>
      </c>
      <c r="D87" s="10" t="s">
        <v>102</v>
      </c>
      <c r="E87" s="11" t="s">
        <v>119</v>
      </c>
      <c r="F87" s="18">
        <f>13</f>
        <v>13</v>
      </c>
      <c r="G87" s="25"/>
      <c r="H87" s="21"/>
      <c r="I87" s="22"/>
      <c r="J87" s="22"/>
      <c r="K87" s="23">
        <v>2.19</v>
      </c>
      <c r="L87" s="23">
        <f t="shared" si="5"/>
        <v>28.47</v>
      </c>
      <c r="M87" s="24"/>
      <c r="N87" s="24"/>
    </row>
    <row r="88" spans="1:14" ht="31.5">
      <c r="A88" s="9" t="s">
        <v>188</v>
      </c>
      <c r="B88" s="16">
        <v>50</v>
      </c>
      <c r="C88" s="13">
        <f>Novembro2015!C88-(F88)</f>
        <v>40</v>
      </c>
      <c r="D88" s="10" t="s">
        <v>120</v>
      </c>
      <c r="E88" s="11" t="s">
        <v>121</v>
      </c>
      <c r="F88" s="18">
        <f>6</f>
        <v>6</v>
      </c>
      <c r="G88" s="25"/>
      <c r="H88" s="21"/>
      <c r="I88" s="22"/>
      <c r="J88" s="22"/>
      <c r="K88" s="23">
        <v>4.58</v>
      </c>
      <c r="L88" s="23">
        <f t="shared" si="5"/>
        <v>27.48</v>
      </c>
      <c r="M88" s="24"/>
      <c r="N88" s="24"/>
    </row>
    <row r="89" spans="1:14" ht="19.5">
      <c r="A89" s="9" t="s">
        <v>189</v>
      </c>
      <c r="B89" s="15">
        <v>120</v>
      </c>
      <c r="C89" s="13">
        <f>Novembro2015!C89-(F89)</f>
        <v>94</v>
      </c>
      <c r="D89" s="10" t="s">
        <v>44</v>
      </c>
      <c r="E89" s="11" t="s">
        <v>122</v>
      </c>
      <c r="F89" s="20">
        <f>16</f>
        <v>16</v>
      </c>
      <c r="G89" s="25"/>
      <c r="H89" s="21"/>
      <c r="I89" s="22"/>
      <c r="J89" s="22"/>
      <c r="K89" s="23">
        <v>4.6100000000000003</v>
      </c>
      <c r="L89" s="23">
        <f t="shared" si="5"/>
        <v>73.760000000000005</v>
      </c>
      <c r="M89" s="24"/>
      <c r="N89" s="24"/>
    </row>
    <row r="90" spans="1:14" ht="19.5">
      <c r="A90" s="9" t="s">
        <v>190</v>
      </c>
      <c r="B90" s="15">
        <v>120</v>
      </c>
      <c r="C90" s="13">
        <f>Novembro2015!C90-(F90)</f>
        <v>94</v>
      </c>
      <c r="D90" s="10" t="s">
        <v>44</v>
      </c>
      <c r="E90" s="11" t="s">
        <v>123</v>
      </c>
      <c r="F90" s="20">
        <f>16</f>
        <v>16</v>
      </c>
      <c r="G90" s="25"/>
      <c r="H90" s="21"/>
      <c r="I90" s="22"/>
      <c r="J90" s="22"/>
      <c r="K90" s="23">
        <v>4.13</v>
      </c>
      <c r="L90" s="23">
        <f t="shared" si="5"/>
        <v>66.08</v>
      </c>
      <c r="M90" s="24"/>
      <c r="N90" s="24"/>
    </row>
    <row r="91" spans="1:14" ht="19.5">
      <c r="A91" s="9" t="s">
        <v>191</v>
      </c>
      <c r="B91" s="15">
        <v>48</v>
      </c>
      <c r="C91" s="13">
        <f>Novembro2015!C91-(F91)</f>
        <v>38</v>
      </c>
      <c r="D91" s="10" t="s">
        <v>44</v>
      </c>
      <c r="E91" s="11" t="s">
        <v>124</v>
      </c>
      <c r="F91" s="20">
        <f>6</f>
        <v>6</v>
      </c>
      <c r="G91" s="25"/>
      <c r="H91" s="21"/>
      <c r="I91" s="22"/>
      <c r="J91" s="22"/>
      <c r="K91" s="23">
        <v>4.99</v>
      </c>
      <c r="L91" s="23">
        <f t="shared" si="5"/>
        <v>29.94</v>
      </c>
      <c r="M91" s="24"/>
      <c r="N91" s="24"/>
    </row>
    <row r="92" spans="1:14" ht="20.25">
      <c r="A92" s="43" t="s">
        <v>13</v>
      </c>
      <c r="B92" s="43"/>
      <c r="C92" s="43"/>
      <c r="D92" s="43"/>
      <c r="E92" s="43"/>
      <c r="F92" s="44"/>
      <c r="G92" s="45">
        <f>SUM(H9:H91)</f>
        <v>4626.21</v>
      </c>
      <c r="H92" s="46"/>
      <c r="I92" s="47">
        <f>SUM(J9:J91)</f>
        <v>4424.25</v>
      </c>
      <c r="J92" s="48"/>
      <c r="K92" s="49">
        <f>SUM(L9:L91)</f>
        <v>5407.64</v>
      </c>
      <c r="L92" s="50"/>
      <c r="M92" s="51">
        <f>SUM(N9:N91)</f>
        <v>2135.4499999999998</v>
      </c>
      <c r="N92" s="52"/>
    </row>
  </sheetData>
  <mergeCells count="19">
    <mergeCell ref="M7:N7"/>
    <mergeCell ref="A92:F92"/>
    <mergeCell ref="G92:H92"/>
    <mergeCell ref="I92:J92"/>
    <mergeCell ref="K92:L92"/>
    <mergeCell ref="M92:N92"/>
    <mergeCell ref="A2:L2"/>
    <mergeCell ref="A3:L3"/>
    <mergeCell ref="A4:L4"/>
    <mergeCell ref="A5:L5"/>
    <mergeCell ref="A7:A8"/>
    <mergeCell ref="B7:B8"/>
    <mergeCell ref="C7:C8"/>
    <mergeCell ref="D7:D8"/>
    <mergeCell ref="E7:E8"/>
    <mergeCell ref="F7:F8"/>
    <mergeCell ref="G7:H7"/>
    <mergeCell ref="I7:J7"/>
    <mergeCell ref="K7:L7"/>
  </mergeCells>
  <conditionalFormatting sqref="C9:C91">
    <cfRule type="cellIs" dxfId="8" priority="1" operator="lessThan">
      <formula>1</formula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92"/>
  <sheetViews>
    <sheetView zoomScale="80" zoomScaleNormal="80" workbookViewId="0">
      <selection activeCell="M92" sqref="A1:N92"/>
    </sheetView>
  </sheetViews>
  <sheetFormatPr defaultRowHeight="15"/>
  <cols>
    <col min="2" max="2" width="12.7109375" customWidth="1"/>
    <col min="3" max="3" width="13.28515625" customWidth="1"/>
    <col min="5" max="5" width="52.42578125" customWidth="1"/>
    <col min="6" max="6" width="18.28515625" customWidth="1"/>
    <col min="8" max="8" width="15" customWidth="1"/>
    <col min="10" max="10" width="14.140625" customWidth="1"/>
    <col min="12" max="12" width="14.28515625" customWidth="1"/>
    <col min="14" max="14" width="13.85546875" customWidth="1"/>
  </cols>
  <sheetData>
    <row r="1" spans="1:14">
      <c r="A1" s="1"/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1"/>
      <c r="N2" s="1"/>
    </row>
    <row r="3" spans="1:14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1"/>
      <c r="N3" s="1"/>
    </row>
    <row r="4" spans="1:14">
      <c r="A4" s="54" t="s">
        <v>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1"/>
      <c r="N4" s="1"/>
    </row>
    <row r="5" spans="1:14">
      <c r="A5" s="54" t="s">
        <v>125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1"/>
      <c r="N5" s="1"/>
    </row>
    <row r="6" spans="1:14" ht="18.75">
      <c r="A6" s="26"/>
      <c r="B6" s="26"/>
      <c r="C6" s="26"/>
      <c r="D6" s="26"/>
      <c r="E6" s="26"/>
      <c r="F6" s="26"/>
      <c r="G6" s="26"/>
      <c r="H6" s="26"/>
      <c r="I6" s="4"/>
      <c r="J6" s="4"/>
      <c r="K6" s="4"/>
      <c r="L6" s="4"/>
      <c r="M6" s="1"/>
      <c r="N6" s="1"/>
    </row>
    <row r="7" spans="1:14" ht="19.5">
      <c r="A7" s="56" t="s">
        <v>3</v>
      </c>
      <c r="B7" s="56" t="s">
        <v>4</v>
      </c>
      <c r="C7" s="57" t="s">
        <v>5</v>
      </c>
      <c r="D7" s="56" t="s">
        <v>6</v>
      </c>
      <c r="E7" s="56" t="s">
        <v>7</v>
      </c>
      <c r="F7" s="59" t="s">
        <v>8</v>
      </c>
      <c r="G7" s="61" t="s">
        <v>9</v>
      </c>
      <c r="H7" s="61"/>
      <c r="I7" s="62" t="s">
        <v>192</v>
      </c>
      <c r="J7" s="62"/>
      <c r="K7" s="63" t="s">
        <v>10</v>
      </c>
      <c r="L7" s="63"/>
      <c r="M7" s="53" t="s">
        <v>11</v>
      </c>
      <c r="N7" s="53"/>
    </row>
    <row r="8" spans="1:14" ht="19.5">
      <c r="A8" s="56"/>
      <c r="B8" s="56"/>
      <c r="C8" s="58"/>
      <c r="D8" s="56"/>
      <c r="E8" s="56"/>
      <c r="F8" s="60"/>
      <c r="G8" s="5" t="s">
        <v>12</v>
      </c>
      <c r="H8" s="5" t="s">
        <v>13</v>
      </c>
      <c r="I8" s="6" t="s">
        <v>12</v>
      </c>
      <c r="J8" s="6" t="s">
        <v>13</v>
      </c>
      <c r="K8" s="7" t="s">
        <v>12</v>
      </c>
      <c r="L8" s="7" t="s">
        <v>13</v>
      </c>
      <c r="M8" s="8" t="s">
        <v>12</v>
      </c>
      <c r="N8" s="8" t="s">
        <v>13</v>
      </c>
    </row>
    <row r="9" spans="1:14" ht="19.5">
      <c r="A9" s="9" t="s">
        <v>14</v>
      </c>
      <c r="B9" s="15">
        <v>4000</v>
      </c>
      <c r="C9" s="13">
        <f>Dezembro2015!C9-(F9)</f>
        <v>2230</v>
      </c>
      <c r="D9" s="10" t="s">
        <v>15</v>
      </c>
      <c r="E9" s="11" t="s">
        <v>33</v>
      </c>
      <c r="F9" s="17">
        <f>120+648</f>
        <v>768</v>
      </c>
      <c r="G9" s="21"/>
      <c r="H9" s="21"/>
      <c r="I9" s="22">
        <v>1.94</v>
      </c>
      <c r="J9" s="22">
        <f>F9*I9</f>
        <v>1489.92</v>
      </c>
      <c r="K9" s="23"/>
      <c r="L9" s="23"/>
      <c r="M9" s="24"/>
      <c r="N9" s="24"/>
    </row>
    <row r="10" spans="1:14" ht="31.5">
      <c r="A10" s="9" t="s">
        <v>16</v>
      </c>
      <c r="B10" s="15">
        <v>800</v>
      </c>
      <c r="C10" s="13">
        <f>Dezembro2015!C10-(F10)</f>
        <v>412</v>
      </c>
      <c r="D10" s="10" t="s">
        <v>15</v>
      </c>
      <c r="E10" s="11" t="s">
        <v>34</v>
      </c>
      <c r="F10" s="18">
        <f>150</f>
        <v>150</v>
      </c>
      <c r="G10" s="25">
        <v>3.71</v>
      </c>
      <c r="H10" s="21">
        <f t="shared" ref="H10:H46" si="0">F10*G10</f>
        <v>556.5</v>
      </c>
      <c r="I10" s="22"/>
      <c r="J10" s="22"/>
      <c r="K10" s="23"/>
      <c r="L10" s="23"/>
      <c r="M10" s="24"/>
      <c r="N10" s="24"/>
    </row>
    <row r="11" spans="1:14" ht="31.5">
      <c r="A11" s="9" t="s">
        <v>17</v>
      </c>
      <c r="B11" s="15">
        <v>800</v>
      </c>
      <c r="C11" s="13">
        <f>Dezembro2015!C11-(F11)</f>
        <v>481</v>
      </c>
      <c r="D11" s="10" t="s">
        <v>35</v>
      </c>
      <c r="E11" s="11" t="s">
        <v>36</v>
      </c>
      <c r="F11" s="18">
        <f>105+40</f>
        <v>145</v>
      </c>
      <c r="G11" s="25"/>
      <c r="H11" s="21"/>
      <c r="I11" s="22"/>
      <c r="J11" s="22"/>
      <c r="K11" s="23">
        <v>2.04</v>
      </c>
      <c r="L11" s="23">
        <f t="shared" ref="L11:L72" si="1">F11*K11</f>
        <v>295.8</v>
      </c>
      <c r="M11" s="24"/>
      <c r="N11" s="24"/>
    </row>
    <row r="12" spans="1:14" ht="19.5">
      <c r="A12" s="9" t="s">
        <v>18</v>
      </c>
      <c r="B12" s="15">
        <v>60</v>
      </c>
      <c r="C12" s="13">
        <f>Dezembro2015!C12-(F12)</f>
        <v>36</v>
      </c>
      <c r="D12" s="10" t="s">
        <v>15</v>
      </c>
      <c r="E12" s="11" t="s">
        <v>37</v>
      </c>
      <c r="F12" s="18">
        <f>9+2</f>
        <v>11</v>
      </c>
      <c r="G12" s="25"/>
      <c r="H12" s="21"/>
      <c r="I12" s="22"/>
      <c r="J12" s="22"/>
      <c r="K12" s="23">
        <v>1.58</v>
      </c>
      <c r="L12" s="23">
        <f t="shared" si="1"/>
        <v>17.380000000000003</v>
      </c>
      <c r="M12" s="24"/>
      <c r="N12" s="24"/>
    </row>
    <row r="13" spans="1:14" ht="19.5">
      <c r="A13" s="9" t="s">
        <v>19</v>
      </c>
      <c r="B13" s="15">
        <v>1200</v>
      </c>
      <c r="C13" s="13">
        <f>Dezembro2015!C13-(F13)</f>
        <v>602</v>
      </c>
      <c r="D13" s="10" t="s">
        <v>15</v>
      </c>
      <c r="E13" s="11" t="s">
        <v>38</v>
      </c>
      <c r="F13" s="18">
        <f>24+210</f>
        <v>234</v>
      </c>
      <c r="G13" s="25"/>
      <c r="H13" s="21"/>
      <c r="I13" s="22"/>
      <c r="J13" s="22"/>
      <c r="K13" s="23"/>
      <c r="L13" s="23"/>
      <c r="M13" s="24">
        <v>2.27</v>
      </c>
      <c r="N13" s="24">
        <f t="shared" ref="N13:N73" si="2">F13*M13</f>
        <v>531.17999999999995</v>
      </c>
    </row>
    <row r="14" spans="1:14" ht="31.5">
      <c r="A14" s="9" t="s">
        <v>20</v>
      </c>
      <c r="B14" s="15">
        <v>150</v>
      </c>
      <c r="C14" s="13">
        <f>Dezembro2015!C14-(F14)</f>
        <v>78</v>
      </c>
      <c r="D14" s="10" t="s">
        <v>39</v>
      </c>
      <c r="E14" s="11" t="s">
        <v>40</v>
      </c>
      <c r="F14" s="19">
        <f>4+24</f>
        <v>28</v>
      </c>
      <c r="G14" s="25">
        <v>2.46</v>
      </c>
      <c r="H14" s="21">
        <f t="shared" si="0"/>
        <v>68.88</v>
      </c>
      <c r="I14" s="22"/>
      <c r="J14" s="22"/>
      <c r="K14" s="23"/>
      <c r="L14" s="23"/>
      <c r="M14" s="24"/>
      <c r="N14" s="24"/>
    </row>
    <row r="15" spans="1:14" ht="19.5">
      <c r="A15" s="9" t="s">
        <v>21</v>
      </c>
      <c r="B15" s="15">
        <v>150</v>
      </c>
      <c r="C15" s="13">
        <f>Dezembro2015!C15-(F15)</f>
        <v>80</v>
      </c>
      <c r="D15" s="10" t="s">
        <v>39</v>
      </c>
      <c r="E15" s="11" t="s">
        <v>41</v>
      </c>
      <c r="F15" s="18">
        <f>27+1+10</f>
        <v>38</v>
      </c>
      <c r="G15" s="25"/>
      <c r="H15" s="21"/>
      <c r="I15" s="22"/>
      <c r="J15" s="22"/>
      <c r="K15" s="23">
        <v>2.39</v>
      </c>
      <c r="L15" s="23">
        <f t="shared" si="1"/>
        <v>90.820000000000007</v>
      </c>
      <c r="M15" s="24"/>
      <c r="N15" s="24"/>
    </row>
    <row r="16" spans="1:14" ht="19.5">
      <c r="A16" s="9" t="s">
        <v>22</v>
      </c>
      <c r="B16" s="15">
        <v>1200</v>
      </c>
      <c r="C16" s="13">
        <f>Dezembro2015!C16-(F16)</f>
        <v>600</v>
      </c>
      <c r="D16" s="10" t="s">
        <v>35</v>
      </c>
      <c r="E16" s="11" t="s">
        <v>42</v>
      </c>
      <c r="F16" s="18">
        <f>20+216</f>
        <v>236</v>
      </c>
      <c r="G16" s="25">
        <v>3.12</v>
      </c>
      <c r="H16" s="21">
        <f t="shared" si="0"/>
        <v>736.32</v>
      </c>
      <c r="I16" s="22"/>
      <c r="J16" s="22"/>
      <c r="K16" s="23"/>
      <c r="L16" s="23"/>
      <c r="M16" s="24"/>
      <c r="N16" s="24"/>
    </row>
    <row r="17" spans="1:14" ht="19.5">
      <c r="A17" s="9" t="s">
        <v>23</v>
      </c>
      <c r="B17" s="15">
        <v>1200</v>
      </c>
      <c r="C17" s="13">
        <f>Dezembro2015!C17-(F17)</f>
        <v>600</v>
      </c>
      <c r="D17" s="10" t="s">
        <v>35</v>
      </c>
      <c r="E17" s="11" t="s">
        <v>43</v>
      </c>
      <c r="F17" s="18">
        <f>20+216</f>
        <v>236</v>
      </c>
      <c r="G17" s="25">
        <v>3.07</v>
      </c>
      <c r="H17" s="21">
        <f t="shared" si="0"/>
        <v>724.52</v>
      </c>
      <c r="I17" s="22"/>
      <c r="J17" s="22"/>
      <c r="K17" s="23"/>
      <c r="L17" s="23"/>
      <c r="M17" s="24"/>
      <c r="N17" s="24"/>
    </row>
    <row r="18" spans="1:14" ht="19.5">
      <c r="A18" s="9" t="s">
        <v>24</v>
      </c>
      <c r="B18" s="15">
        <v>400</v>
      </c>
      <c r="C18" s="13">
        <f>Dezembro2015!C18-(F18)</f>
        <v>202</v>
      </c>
      <c r="D18" s="10" t="s">
        <v>44</v>
      </c>
      <c r="E18" s="11" t="s">
        <v>45</v>
      </c>
      <c r="F18" s="18">
        <f>10+66</f>
        <v>76</v>
      </c>
      <c r="G18" s="25"/>
      <c r="H18" s="21"/>
      <c r="I18" s="22"/>
      <c r="J18" s="22"/>
      <c r="K18" s="23"/>
      <c r="L18" s="23"/>
      <c r="M18" s="24">
        <v>3.38</v>
      </c>
      <c r="N18" s="24">
        <f t="shared" si="2"/>
        <v>256.88</v>
      </c>
    </row>
    <row r="19" spans="1:14" ht="19.5">
      <c r="A19" s="9" t="s">
        <v>25</v>
      </c>
      <c r="B19" s="15">
        <v>220</v>
      </c>
      <c r="C19" s="13">
        <f>Dezembro2015!C19-(F19)</f>
        <v>138</v>
      </c>
      <c r="D19" s="10" t="s">
        <v>46</v>
      </c>
      <c r="E19" s="11" t="s">
        <v>47</v>
      </c>
      <c r="F19" s="18">
        <f>32+2</f>
        <v>34</v>
      </c>
      <c r="G19" s="25"/>
      <c r="H19" s="21"/>
      <c r="I19" s="22"/>
      <c r="J19" s="22"/>
      <c r="K19" s="23">
        <v>4.03</v>
      </c>
      <c r="L19" s="23">
        <f t="shared" si="1"/>
        <v>137.02000000000001</v>
      </c>
      <c r="M19" s="24"/>
      <c r="N19" s="24"/>
    </row>
    <row r="20" spans="1:14" ht="19.5">
      <c r="A20" s="9" t="s">
        <v>26</v>
      </c>
      <c r="B20" s="15">
        <v>450</v>
      </c>
      <c r="C20" s="13">
        <f>Dezembro2015!C20-(F20)</f>
        <v>244</v>
      </c>
      <c r="D20" s="10" t="s">
        <v>39</v>
      </c>
      <c r="E20" s="11" t="s">
        <v>48</v>
      </c>
      <c r="F20" s="18">
        <f>30+48</f>
        <v>78</v>
      </c>
      <c r="G20" s="25"/>
      <c r="H20" s="21"/>
      <c r="I20" s="22">
        <v>12.22</v>
      </c>
      <c r="J20" s="22">
        <f t="shared" ref="J20:J58" si="3">F20*I20</f>
        <v>953.16000000000008</v>
      </c>
      <c r="K20" s="23"/>
      <c r="L20" s="23"/>
      <c r="M20" s="24"/>
      <c r="N20" s="24"/>
    </row>
    <row r="21" spans="1:14" ht="19.5">
      <c r="A21" s="9" t="s">
        <v>28</v>
      </c>
      <c r="B21" s="15">
        <v>300</v>
      </c>
      <c r="C21" s="13">
        <f>Dezembro2015!C21-(F21)</f>
        <v>181</v>
      </c>
      <c r="D21" s="10" t="s">
        <v>35</v>
      </c>
      <c r="E21" s="11" t="s">
        <v>27</v>
      </c>
      <c r="F21" s="20">
        <f>42+12</f>
        <v>54</v>
      </c>
      <c r="G21" s="25"/>
      <c r="H21" s="21"/>
      <c r="I21" s="22"/>
      <c r="J21" s="22"/>
      <c r="K21" s="23">
        <v>3.05</v>
      </c>
      <c r="L21" s="23">
        <f t="shared" si="1"/>
        <v>164.7</v>
      </c>
      <c r="M21" s="24"/>
      <c r="N21" s="24"/>
    </row>
    <row r="22" spans="1:14" ht="19.5">
      <c r="A22" s="9" t="s">
        <v>29</v>
      </c>
      <c r="B22" s="15">
        <v>400</v>
      </c>
      <c r="C22" s="13">
        <f>Dezembro2015!C22-(F22)</f>
        <v>205</v>
      </c>
      <c r="D22" s="10" t="s">
        <v>35</v>
      </c>
      <c r="E22" s="11" t="s">
        <v>49</v>
      </c>
      <c r="F22" s="20">
        <f>8+69</f>
        <v>77</v>
      </c>
      <c r="G22" s="25">
        <v>1.64</v>
      </c>
      <c r="H22" s="21">
        <f t="shared" si="0"/>
        <v>126.27999999999999</v>
      </c>
      <c r="I22" s="22"/>
      <c r="J22" s="22"/>
      <c r="K22" s="23"/>
      <c r="L22" s="23"/>
      <c r="M22" s="24"/>
      <c r="N22" s="24"/>
    </row>
    <row r="23" spans="1:14" ht="19.5">
      <c r="A23" s="9" t="s">
        <v>30</v>
      </c>
      <c r="B23" s="15">
        <v>200</v>
      </c>
      <c r="C23" s="13">
        <f>Dezembro2015!C23-(F23)</f>
        <v>121</v>
      </c>
      <c r="D23" s="10" t="s">
        <v>39</v>
      </c>
      <c r="E23" s="11" t="s">
        <v>50</v>
      </c>
      <c r="F23" s="20">
        <f>33+4</f>
        <v>37</v>
      </c>
      <c r="G23" s="25"/>
      <c r="H23" s="21"/>
      <c r="I23" s="22"/>
      <c r="J23" s="22"/>
      <c r="K23" s="23">
        <v>1.51</v>
      </c>
      <c r="L23" s="23">
        <f t="shared" si="1"/>
        <v>55.87</v>
      </c>
      <c r="M23" s="24"/>
      <c r="N23" s="24"/>
    </row>
    <row r="24" spans="1:14" ht="19.5">
      <c r="A24" s="9" t="s">
        <v>31</v>
      </c>
      <c r="B24" s="15">
        <v>800</v>
      </c>
      <c r="C24" s="13">
        <f>Dezembro2015!C24-(F24)</f>
        <v>408</v>
      </c>
      <c r="D24" s="10" t="s">
        <v>44</v>
      </c>
      <c r="E24" s="11" t="s">
        <v>51</v>
      </c>
      <c r="F24" s="19">
        <f>16+138</f>
        <v>154</v>
      </c>
      <c r="G24" s="25">
        <v>3.68</v>
      </c>
      <c r="H24" s="21">
        <f t="shared" si="0"/>
        <v>566.72</v>
      </c>
      <c r="I24" s="22"/>
      <c r="J24" s="22"/>
      <c r="K24" s="23"/>
      <c r="L24" s="23"/>
      <c r="M24" s="24"/>
      <c r="N24" s="24"/>
    </row>
    <row r="25" spans="1:14" ht="19.5">
      <c r="A25" s="9" t="s">
        <v>32</v>
      </c>
      <c r="B25" s="15">
        <v>800</v>
      </c>
      <c r="C25" s="13">
        <f>Dezembro2015!C25-(F25)</f>
        <v>408</v>
      </c>
      <c r="D25" s="10" t="s">
        <v>44</v>
      </c>
      <c r="E25" s="11" t="s">
        <v>52</v>
      </c>
      <c r="F25" s="18">
        <f>16+138</f>
        <v>154</v>
      </c>
      <c r="G25" s="25"/>
      <c r="H25" s="21"/>
      <c r="I25" s="22"/>
      <c r="J25" s="22"/>
      <c r="K25" s="23"/>
      <c r="L25" s="23"/>
      <c r="M25" s="24">
        <v>4.75</v>
      </c>
      <c r="N25" s="24">
        <f t="shared" si="2"/>
        <v>731.5</v>
      </c>
    </row>
    <row r="26" spans="1:14" ht="19.5">
      <c r="A26" s="9" t="s">
        <v>126</v>
      </c>
      <c r="B26" s="15">
        <v>800</v>
      </c>
      <c r="C26" s="13">
        <f>Dezembro2015!C26-(F26)</f>
        <v>408</v>
      </c>
      <c r="D26" s="10" t="s">
        <v>44</v>
      </c>
      <c r="E26" s="11" t="s">
        <v>53</v>
      </c>
      <c r="F26" s="17">
        <f>16+138</f>
        <v>154</v>
      </c>
      <c r="G26" s="21">
        <v>5.88</v>
      </c>
      <c r="H26" s="21">
        <f t="shared" si="0"/>
        <v>905.52</v>
      </c>
      <c r="I26" s="22"/>
      <c r="J26" s="22"/>
      <c r="K26" s="23"/>
      <c r="L26" s="23"/>
      <c r="M26" s="24"/>
      <c r="N26" s="24"/>
    </row>
    <row r="27" spans="1:14" ht="19.5">
      <c r="A27" s="9" t="s">
        <v>127</v>
      </c>
      <c r="B27" s="15">
        <v>400</v>
      </c>
      <c r="C27" s="13">
        <f>Dezembro2015!C27-(F27)</f>
        <v>272</v>
      </c>
      <c r="D27" s="10" t="s">
        <v>54</v>
      </c>
      <c r="E27" s="11" t="s">
        <v>55</v>
      </c>
      <c r="F27" s="18">
        <f>32</f>
        <v>32</v>
      </c>
      <c r="G27" s="25">
        <v>5.45</v>
      </c>
      <c r="H27" s="21">
        <f t="shared" si="0"/>
        <v>174.4</v>
      </c>
      <c r="I27" s="22"/>
      <c r="J27" s="22"/>
      <c r="K27" s="23"/>
      <c r="L27" s="23"/>
      <c r="M27" s="24"/>
      <c r="N27" s="24"/>
    </row>
    <row r="28" spans="1:14" ht="19.5">
      <c r="A28" s="9" t="s">
        <v>128</v>
      </c>
      <c r="B28" s="15">
        <v>500</v>
      </c>
      <c r="C28" s="13">
        <f>Dezembro2015!C28-(F28)</f>
        <v>270</v>
      </c>
      <c r="D28" s="10" t="s">
        <v>39</v>
      </c>
      <c r="E28" s="11" t="s">
        <v>56</v>
      </c>
      <c r="F28" s="18">
        <f>35+51</f>
        <v>86</v>
      </c>
      <c r="G28" s="25"/>
      <c r="H28" s="21"/>
      <c r="I28" s="22">
        <v>17.57</v>
      </c>
      <c r="J28" s="22">
        <f t="shared" si="3"/>
        <v>1511.02</v>
      </c>
      <c r="K28" s="23"/>
      <c r="L28" s="23"/>
      <c r="M28" s="24"/>
      <c r="N28" s="24"/>
    </row>
    <row r="29" spans="1:14" ht="19.5">
      <c r="A29" s="9" t="s">
        <v>129</v>
      </c>
      <c r="B29" s="15">
        <v>500</v>
      </c>
      <c r="C29" s="13">
        <f>Dezembro2015!C29-(F29)</f>
        <v>265</v>
      </c>
      <c r="D29" s="10" t="s">
        <v>39</v>
      </c>
      <c r="E29" s="11" t="s">
        <v>57</v>
      </c>
      <c r="F29" s="18">
        <f>35+51</f>
        <v>86</v>
      </c>
      <c r="G29" s="25">
        <v>11.49</v>
      </c>
      <c r="H29" s="21">
        <f t="shared" si="0"/>
        <v>988.14</v>
      </c>
      <c r="I29" s="22"/>
      <c r="J29" s="22"/>
      <c r="K29" s="23"/>
      <c r="L29" s="23"/>
      <c r="M29" s="24"/>
      <c r="N29" s="24"/>
    </row>
    <row r="30" spans="1:14" ht="19.5">
      <c r="A30" s="9" t="s">
        <v>130</v>
      </c>
      <c r="B30" s="15">
        <v>500</v>
      </c>
      <c r="C30" s="13">
        <f>Dezembro2015!C30-(F30)</f>
        <v>300</v>
      </c>
      <c r="D30" s="10" t="s">
        <v>39</v>
      </c>
      <c r="E30" s="11" t="s">
        <v>58</v>
      </c>
      <c r="F30" s="18">
        <f>72+20</f>
        <v>92</v>
      </c>
      <c r="G30" s="25"/>
      <c r="H30" s="21"/>
      <c r="I30" s="22"/>
      <c r="J30" s="22"/>
      <c r="K30" s="23">
        <v>13.58</v>
      </c>
      <c r="L30" s="23">
        <f t="shared" si="1"/>
        <v>1249.3599999999999</v>
      </c>
      <c r="M30" s="24"/>
      <c r="N30" s="24"/>
    </row>
    <row r="31" spans="1:14" ht="19.5">
      <c r="A31" s="9" t="s">
        <v>131</v>
      </c>
      <c r="B31" s="15">
        <v>500</v>
      </c>
      <c r="C31" s="13">
        <f>Dezembro2015!C31-(F31)</f>
        <v>270</v>
      </c>
      <c r="D31" s="10" t="s">
        <v>39</v>
      </c>
      <c r="E31" s="11" t="s">
        <v>59</v>
      </c>
      <c r="F31" s="19">
        <f>35+51</f>
        <v>86</v>
      </c>
      <c r="G31" s="25"/>
      <c r="H31" s="21"/>
      <c r="I31" s="22">
        <v>16.89</v>
      </c>
      <c r="J31" s="22">
        <f t="shared" si="3"/>
        <v>1452.54</v>
      </c>
      <c r="K31" s="23"/>
      <c r="L31" s="23"/>
      <c r="M31" s="24"/>
      <c r="N31" s="24"/>
    </row>
    <row r="32" spans="1:14" ht="19.5">
      <c r="A32" s="9" t="s">
        <v>132</v>
      </c>
      <c r="B32" s="15">
        <v>500</v>
      </c>
      <c r="C32" s="13">
        <f>Dezembro2015!C32-(F32)</f>
        <v>265</v>
      </c>
      <c r="D32" s="10" t="s">
        <v>39</v>
      </c>
      <c r="E32" s="11" t="s">
        <v>60</v>
      </c>
      <c r="F32" s="18">
        <f>35+51</f>
        <v>86</v>
      </c>
      <c r="G32" s="25">
        <v>9.1199999999999992</v>
      </c>
      <c r="H32" s="21">
        <f t="shared" si="0"/>
        <v>784.31999999999994</v>
      </c>
      <c r="I32" s="22"/>
      <c r="J32" s="22"/>
      <c r="K32" s="23"/>
      <c r="L32" s="23"/>
      <c r="M32" s="24"/>
      <c r="N32" s="24"/>
    </row>
    <row r="33" spans="1:14" ht="19.5">
      <c r="A33" s="9" t="s">
        <v>133</v>
      </c>
      <c r="B33" s="15">
        <v>400</v>
      </c>
      <c r="C33" s="13">
        <f>Dezembro2015!C33-(F33)</f>
        <v>304</v>
      </c>
      <c r="D33" s="10" t="s">
        <v>54</v>
      </c>
      <c r="E33" s="11" t="s">
        <v>61</v>
      </c>
      <c r="F33" s="18">
        <f>32</f>
        <v>32</v>
      </c>
      <c r="G33" s="25"/>
      <c r="H33" s="21"/>
      <c r="I33" s="22"/>
      <c r="J33" s="22"/>
      <c r="K33" s="23">
        <v>13.25</v>
      </c>
      <c r="L33" s="23">
        <f t="shared" si="1"/>
        <v>424</v>
      </c>
      <c r="M33" s="24"/>
      <c r="N33" s="24"/>
    </row>
    <row r="34" spans="1:14" ht="19.5">
      <c r="A34" s="9" t="s">
        <v>134</v>
      </c>
      <c r="B34" s="15">
        <v>250</v>
      </c>
      <c r="C34" s="13">
        <f>Dezembro2015!C34-(F34)</f>
        <v>167</v>
      </c>
      <c r="D34" s="10" t="s">
        <v>39</v>
      </c>
      <c r="E34" s="11" t="s">
        <v>62</v>
      </c>
      <c r="F34" s="18">
        <f>20</f>
        <v>20</v>
      </c>
      <c r="G34" s="25"/>
      <c r="H34" s="21"/>
      <c r="I34" s="22"/>
      <c r="J34" s="22"/>
      <c r="K34" s="23"/>
      <c r="L34" s="23"/>
      <c r="M34" s="24">
        <v>13.69</v>
      </c>
      <c r="N34" s="24">
        <f t="shared" si="2"/>
        <v>273.8</v>
      </c>
    </row>
    <row r="35" spans="1:14" ht="19.5">
      <c r="A35" s="9" t="s">
        <v>135</v>
      </c>
      <c r="B35" s="15">
        <v>150</v>
      </c>
      <c r="C35" s="13">
        <f>Dezembro2015!C35-(F35)</f>
        <v>86</v>
      </c>
      <c r="D35" s="10" t="s">
        <v>63</v>
      </c>
      <c r="E35" s="11" t="s">
        <v>64</v>
      </c>
      <c r="F35" s="18">
        <f>5+21</f>
        <v>26</v>
      </c>
      <c r="G35" s="25">
        <v>1.1399999999999999</v>
      </c>
      <c r="H35" s="21">
        <f t="shared" si="0"/>
        <v>29.639999999999997</v>
      </c>
      <c r="I35" s="22"/>
      <c r="J35" s="22"/>
      <c r="K35" s="23"/>
      <c r="L35" s="23"/>
      <c r="M35" s="24"/>
      <c r="N35" s="24"/>
    </row>
    <row r="36" spans="1:14" ht="19.5">
      <c r="A36" s="9" t="s">
        <v>136</v>
      </c>
      <c r="B36" s="15">
        <v>100</v>
      </c>
      <c r="C36" s="13">
        <f>Dezembro2015!C36-(F36)</f>
        <v>52</v>
      </c>
      <c r="D36" s="10" t="s">
        <v>63</v>
      </c>
      <c r="E36" s="11" t="s">
        <v>65</v>
      </c>
      <c r="F36" s="18">
        <f>18</f>
        <v>18</v>
      </c>
      <c r="G36" s="25">
        <v>4.9000000000000004</v>
      </c>
      <c r="H36" s="21">
        <f t="shared" si="0"/>
        <v>88.2</v>
      </c>
      <c r="I36" s="22"/>
      <c r="J36" s="22"/>
      <c r="K36" s="23"/>
      <c r="L36" s="23"/>
      <c r="M36" s="24"/>
      <c r="N36" s="24"/>
    </row>
    <row r="37" spans="1:14" ht="31.5">
      <c r="A37" s="9" t="s">
        <v>137</v>
      </c>
      <c r="B37" s="15">
        <v>200</v>
      </c>
      <c r="C37" s="13">
        <f>Dezembro2015!C37-(F37)</f>
        <v>123</v>
      </c>
      <c r="D37" s="10" t="s">
        <v>39</v>
      </c>
      <c r="E37" s="11" t="s">
        <v>66</v>
      </c>
      <c r="F37" s="18">
        <f>27+8</f>
        <v>35</v>
      </c>
      <c r="G37" s="25"/>
      <c r="H37" s="21"/>
      <c r="I37" s="22"/>
      <c r="J37" s="22"/>
      <c r="K37" s="23">
        <v>2.98</v>
      </c>
      <c r="L37" s="23">
        <f t="shared" si="1"/>
        <v>104.3</v>
      </c>
      <c r="M37" s="24"/>
      <c r="N37" s="24"/>
    </row>
    <row r="38" spans="1:14" ht="19.5">
      <c r="A38" s="9" t="s">
        <v>138</v>
      </c>
      <c r="B38" s="15">
        <v>200</v>
      </c>
      <c r="C38" s="13">
        <f>Dezembro2015!C38-(F38)</f>
        <v>118</v>
      </c>
      <c r="D38" s="10" t="s">
        <v>63</v>
      </c>
      <c r="E38" s="11" t="s">
        <v>67</v>
      </c>
      <c r="F38" s="20">
        <f>10+24</f>
        <v>34</v>
      </c>
      <c r="G38" s="25">
        <v>0.51</v>
      </c>
      <c r="H38" s="21">
        <f t="shared" si="0"/>
        <v>17.34</v>
      </c>
      <c r="I38" s="22"/>
      <c r="J38" s="22"/>
      <c r="K38" s="23"/>
      <c r="L38" s="23"/>
      <c r="M38" s="24"/>
      <c r="N38" s="24"/>
    </row>
    <row r="39" spans="1:14" ht="19.5">
      <c r="A39" s="9" t="s">
        <v>139</v>
      </c>
      <c r="B39" s="15">
        <v>100</v>
      </c>
      <c r="C39" s="13">
        <f>Dezembro2015!C39-(F39)</f>
        <v>84</v>
      </c>
      <c r="D39" s="10" t="s">
        <v>39</v>
      </c>
      <c r="E39" s="11" t="s">
        <v>68</v>
      </c>
      <c r="F39" s="20"/>
      <c r="G39" s="25"/>
      <c r="H39" s="21"/>
      <c r="I39" s="22"/>
      <c r="J39" s="22"/>
      <c r="K39" s="23">
        <v>7.43</v>
      </c>
      <c r="L39" s="23">
        <f t="shared" si="1"/>
        <v>0</v>
      </c>
      <c r="M39" s="24"/>
      <c r="N39" s="24"/>
    </row>
    <row r="40" spans="1:14" ht="31.5">
      <c r="A40" s="9" t="s">
        <v>140</v>
      </c>
      <c r="B40" s="15">
        <v>300</v>
      </c>
      <c r="C40" s="13">
        <f>Dezembro2015!C40-(F40)</f>
        <v>181</v>
      </c>
      <c r="D40" s="10" t="s">
        <v>63</v>
      </c>
      <c r="E40" s="11" t="s">
        <v>69</v>
      </c>
      <c r="F40" s="20">
        <f>45+10</f>
        <v>55</v>
      </c>
      <c r="G40" s="25"/>
      <c r="H40" s="21"/>
      <c r="I40" s="22"/>
      <c r="J40" s="22"/>
      <c r="K40" s="23">
        <v>2.87</v>
      </c>
      <c r="L40" s="23">
        <f t="shared" si="1"/>
        <v>157.85</v>
      </c>
      <c r="M40" s="24"/>
      <c r="N40" s="24"/>
    </row>
    <row r="41" spans="1:14" ht="19.5">
      <c r="A41" s="9" t="s">
        <v>141</v>
      </c>
      <c r="B41" s="15">
        <v>30</v>
      </c>
      <c r="C41" s="13">
        <f>Dezembro2015!C41-(F41)</f>
        <v>22</v>
      </c>
      <c r="D41" s="10" t="s">
        <v>39</v>
      </c>
      <c r="E41" s="11" t="s">
        <v>70</v>
      </c>
      <c r="F41" s="19">
        <f>2</f>
        <v>2</v>
      </c>
      <c r="G41" s="25">
        <v>7.38</v>
      </c>
      <c r="H41" s="21">
        <f t="shared" si="0"/>
        <v>14.76</v>
      </c>
      <c r="I41" s="22"/>
      <c r="J41" s="22"/>
      <c r="K41" s="23"/>
      <c r="L41" s="23"/>
      <c r="M41" s="24"/>
      <c r="N41" s="24"/>
    </row>
    <row r="42" spans="1:14" ht="19.5">
      <c r="A42" s="9" t="s">
        <v>142</v>
      </c>
      <c r="B42" s="15">
        <v>100</v>
      </c>
      <c r="C42" s="13">
        <f>Dezembro2015!C42-(F42)</f>
        <v>72</v>
      </c>
      <c r="D42" s="10" t="s">
        <v>63</v>
      </c>
      <c r="E42" s="11" t="s">
        <v>71</v>
      </c>
      <c r="F42" s="18">
        <f>12</f>
        <v>12</v>
      </c>
      <c r="G42" s="25"/>
      <c r="H42" s="21"/>
      <c r="I42" s="22"/>
      <c r="J42" s="22"/>
      <c r="K42" s="23">
        <v>3.89</v>
      </c>
      <c r="L42" s="23">
        <f t="shared" si="1"/>
        <v>46.68</v>
      </c>
      <c r="M42" s="24"/>
      <c r="N42" s="24"/>
    </row>
    <row r="43" spans="1:14" ht="19.5">
      <c r="A43" s="9" t="s">
        <v>143</v>
      </c>
      <c r="B43" s="15">
        <v>20</v>
      </c>
      <c r="C43" s="13">
        <f>Dezembro2015!C43-(F43)</f>
        <v>17</v>
      </c>
      <c r="D43" s="10" t="s">
        <v>39</v>
      </c>
      <c r="E43" s="11" t="s">
        <v>72</v>
      </c>
      <c r="F43" s="17">
        <f>1</f>
        <v>1</v>
      </c>
      <c r="G43" s="21"/>
      <c r="H43" s="21"/>
      <c r="I43" s="22"/>
      <c r="J43" s="22"/>
      <c r="K43" s="23">
        <v>8.1300000000000008</v>
      </c>
      <c r="L43" s="23">
        <f t="shared" si="1"/>
        <v>8.1300000000000008</v>
      </c>
      <c r="M43" s="24"/>
      <c r="N43" s="24"/>
    </row>
    <row r="44" spans="1:14" ht="19.5">
      <c r="A44" s="9" t="s">
        <v>144</v>
      </c>
      <c r="B44" s="15">
        <v>400</v>
      </c>
      <c r="C44" s="13">
        <f>Dezembro2015!C44-(F44)</f>
        <v>212</v>
      </c>
      <c r="D44" s="10" t="s">
        <v>63</v>
      </c>
      <c r="E44" s="11" t="s">
        <v>73</v>
      </c>
      <c r="F44" s="18">
        <f>12+60</f>
        <v>72</v>
      </c>
      <c r="G44" s="25">
        <v>1.58</v>
      </c>
      <c r="H44" s="21">
        <f t="shared" si="0"/>
        <v>113.76</v>
      </c>
      <c r="I44" s="22"/>
      <c r="J44" s="22"/>
      <c r="K44" s="23"/>
      <c r="L44" s="23"/>
      <c r="M44" s="24"/>
      <c r="N44" s="24"/>
    </row>
    <row r="45" spans="1:14" ht="19.5">
      <c r="A45" s="9" t="s">
        <v>145</v>
      </c>
      <c r="B45" s="15">
        <v>400</v>
      </c>
      <c r="C45" s="13">
        <f>Dezembro2015!C45-(F45)</f>
        <v>212</v>
      </c>
      <c r="D45" s="10" t="s">
        <v>63</v>
      </c>
      <c r="E45" s="11" t="s">
        <v>74</v>
      </c>
      <c r="F45" s="18">
        <f>12+60</f>
        <v>72</v>
      </c>
      <c r="G45" s="25">
        <v>2.54</v>
      </c>
      <c r="H45" s="21">
        <f t="shared" si="0"/>
        <v>182.88</v>
      </c>
      <c r="I45" s="22"/>
      <c r="J45" s="22"/>
      <c r="K45" s="23"/>
      <c r="L45" s="23"/>
      <c r="M45" s="24"/>
      <c r="N45" s="24"/>
    </row>
    <row r="46" spans="1:14" ht="19.5">
      <c r="A46" s="9" t="s">
        <v>146</v>
      </c>
      <c r="B46" s="15">
        <v>120</v>
      </c>
      <c r="C46" s="13">
        <f>Dezembro2015!C46-(F46)</f>
        <v>61</v>
      </c>
      <c r="D46" s="10" t="s">
        <v>39</v>
      </c>
      <c r="E46" s="11" t="s">
        <v>75</v>
      </c>
      <c r="F46" s="18">
        <f>5+15</f>
        <v>20</v>
      </c>
      <c r="G46" s="25">
        <v>4.6399999999999997</v>
      </c>
      <c r="H46" s="21">
        <f t="shared" si="0"/>
        <v>92.8</v>
      </c>
      <c r="I46" s="22"/>
      <c r="J46" s="22"/>
      <c r="K46" s="23"/>
      <c r="L46" s="23"/>
      <c r="M46" s="24"/>
      <c r="N46" s="24"/>
    </row>
    <row r="47" spans="1:14" ht="31.5">
      <c r="A47" s="9" t="s">
        <v>147</v>
      </c>
      <c r="B47" s="15">
        <v>1200</v>
      </c>
      <c r="C47" s="13">
        <f>Dezembro2015!C47-(F47)</f>
        <v>710</v>
      </c>
      <c r="D47" s="10" t="s">
        <v>63</v>
      </c>
      <c r="E47" s="11" t="s">
        <v>76</v>
      </c>
      <c r="F47" s="18">
        <f>174+50</f>
        <v>224</v>
      </c>
      <c r="G47" s="25"/>
      <c r="H47" s="21"/>
      <c r="I47" s="22"/>
      <c r="J47" s="22"/>
      <c r="K47" s="23">
        <v>3.65</v>
      </c>
      <c r="L47" s="23">
        <f t="shared" si="1"/>
        <v>817.6</v>
      </c>
      <c r="M47" s="24"/>
      <c r="N47" s="24"/>
    </row>
    <row r="48" spans="1:14" ht="19.5">
      <c r="A48" s="9" t="s">
        <v>148</v>
      </c>
      <c r="B48" s="15">
        <v>300</v>
      </c>
      <c r="C48" s="13">
        <f>Dezembro2015!C48-(F48)</f>
        <v>163</v>
      </c>
      <c r="D48" s="10" t="s">
        <v>39</v>
      </c>
      <c r="E48" s="11" t="s">
        <v>77</v>
      </c>
      <c r="F48" s="19">
        <f>20+30</f>
        <v>50</v>
      </c>
      <c r="G48" s="25"/>
      <c r="H48" s="21"/>
      <c r="I48" s="22"/>
      <c r="J48" s="22"/>
      <c r="K48" s="23"/>
      <c r="L48" s="23"/>
      <c r="M48" s="24">
        <v>6.49</v>
      </c>
      <c r="N48" s="24">
        <f t="shared" si="2"/>
        <v>324.5</v>
      </c>
    </row>
    <row r="49" spans="1:14" ht="19.5">
      <c r="A49" s="9" t="s">
        <v>149</v>
      </c>
      <c r="B49" s="15">
        <v>500</v>
      </c>
      <c r="C49" s="13">
        <f>Dezembro2015!C49-(F49)</f>
        <v>310</v>
      </c>
      <c r="D49" s="10" t="s">
        <v>63</v>
      </c>
      <c r="E49" s="11" t="s">
        <v>78</v>
      </c>
      <c r="F49" s="18">
        <f>20+72</f>
        <v>92</v>
      </c>
      <c r="G49" s="25"/>
      <c r="H49" s="21"/>
      <c r="I49" s="22">
        <v>0.99</v>
      </c>
      <c r="J49" s="22">
        <f t="shared" si="3"/>
        <v>91.08</v>
      </c>
      <c r="K49" s="23"/>
      <c r="L49" s="23"/>
      <c r="M49" s="24"/>
      <c r="N49" s="24"/>
    </row>
    <row r="50" spans="1:14" ht="47.25">
      <c r="A50" s="9" t="s">
        <v>150</v>
      </c>
      <c r="B50" s="15">
        <v>500</v>
      </c>
      <c r="C50" s="13">
        <f>Dezembro2015!C50-(F50)</f>
        <v>286</v>
      </c>
      <c r="D50" s="10" t="s">
        <v>39</v>
      </c>
      <c r="E50" s="11" t="s">
        <v>79</v>
      </c>
      <c r="F50" s="18">
        <f>20+72</f>
        <v>92</v>
      </c>
      <c r="G50" s="25"/>
      <c r="H50" s="21"/>
      <c r="I50" s="22">
        <v>1.57</v>
      </c>
      <c r="J50" s="22">
        <f t="shared" si="3"/>
        <v>144.44</v>
      </c>
      <c r="K50" s="23"/>
      <c r="L50" s="23"/>
      <c r="M50" s="24"/>
      <c r="N50" s="24"/>
    </row>
    <row r="51" spans="1:14" ht="63">
      <c r="A51" s="9" t="s">
        <v>151</v>
      </c>
      <c r="B51" s="15">
        <v>36</v>
      </c>
      <c r="C51" s="13">
        <f>Dezembro2015!C51-(F51)</f>
        <v>23</v>
      </c>
      <c r="D51" s="10" t="s">
        <v>63</v>
      </c>
      <c r="E51" s="11" t="s">
        <v>80</v>
      </c>
      <c r="F51" s="18">
        <f>2+3</f>
        <v>5</v>
      </c>
      <c r="G51" s="25"/>
      <c r="H51" s="21"/>
      <c r="I51" s="22">
        <v>2.0499999999999998</v>
      </c>
      <c r="J51" s="22">
        <f t="shared" si="3"/>
        <v>10.25</v>
      </c>
      <c r="K51" s="23"/>
      <c r="L51" s="23"/>
      <c r="M51" s="24"/>
      <c r="N51" s="24"/>
    </row>
    <row r="52" spans="1:14" ht="19.5">
      <c r="A52" s="9" t="s">
        <v>152</v>
      </c>
      <c r="B52" s="15">
        <v>30</v>
      </c>
      <c r="C52" s="13">
        <f>Dezembro2015!C52-(F52)</f>
        <v>24</v>
      </c>
      <c r="D52" s="10" t="s">
        <v>15</v>
      </c>
      <c r="E52" s="11" t="s">
        <v>81</v>
      </c>
      <c r="F52" s="18">
        <f>2</f>
        <v>2</v>
      </c>
      <c r="G52" s="25"/>
      <c r="H52" s="21"/>
      <c r="I52" s="22"/>
      <c r="J52" s="22"/>
      <c r="K52" s="23">
        <v>15.35</v>
      </c>
      <c r="L52" s="23">
        <f t="shared" si="1"/>
        <v>30.7</v>
      </c>
      <c r="M52" s="24"/>
      <c r="N52" s="24"/>
    </row>
    <row r="53" spans="1:14" ht="63">
      <c r="A53" s="9" t="s">
        <v>153</v>
      </c>
      <c r="B53" s="15">
        <v>60</v>
      </c>
      <c r="C53" s="13">
        <f>Dezembro2015!C53-(F53)</f>
        <v>0</v>
      </c>
      <c r="D53" s="10" t="s">
        <v>82</v>
      </c>
      <c r="E53" s="11" t="s">
        <v>83</v>
      </c>
      <c r="F53" s="18">
        <f>25</f>
        <v>25</v>
      </c>
      <c r="G53" s="25"/>
      <c r="H53" s="21"/>
      <c r="I53" s="22"/>
      <c r="J53" s="22"/>
      <c r="K53" s="23">
        <v>17.47</v>
      </c>
      <c r="L53" s="23">
        <f t="shared" si="1"/>
        <v>436.75</v>
      </c>
      <c r="M53" s="24"/>
      <c r="N53" s="24"/>
    </row>
    <row r="54" spans="1:14" ht="63">
      <c r="A54" s="9" t="s">
        <v>154</v>
      </c>
      <c r="B54" s="15">
        <v>60</v>
      </c>
      <c r="C54" s="13">
        <f>Dezembro2015!C54-(F54)</f>
        <v>0</v>
      </c>
      <c r="D54" s="10" t="s">
        <v>82</v>
      </c>
      <c r="E54" s="11" t="s">
        <v>84</v>
      </c>
      <c r="F54" s="18">
        <f>25</f>
        <v>25</v>
      </c>
      <c r="G54" s="25"/>
      <c r="H54" s="21"/>
      <c r="I54" s="22"/>
      <c r="J54" s="22"/>
      <c r="K54" s="23">
        <v>17.47</v>
      </c>
      <c r="L54" s="23">
        <f t="shared" si="1"/>
        <v>436.75</v>
      </c>
      <c r="M54" s="24"/>
      <c r="N54" s="24"/>
    </row>
    <row r="55" spans="1:14" ht="31.5">
      <c r="A55" s="9" t="s">
        <v>155</v>
      </c>
      <c r="B55" s="15">
        <v>300</v>
      </c>
      <c r="C55" s="13">
        <f>Dezembro2015!C55-(F55)</f>
        <v>225</v>
      </c>
      <c r="D55" s="10" t="s">
        <v>54</v>
      </c>
      <c r="E55" s="11" t="s">
        <v>85</v>
      </c>
      <c r="F55" s="20">
        <f>25</f>
        <v>25</v>
      </c>
      <c r="G55" s="25"/>
      <c r="H55" s="21"/>
      <c r="I55" s="22"/>
      <c r="J55" s="22"/>
      <c r="K55" s="23">
        <v>13.23</v>
      </c>
      <c r="L55" s="23">
        <f t="shared" si="1"/>
        <v>330.75</v>
      </c>
      <c r="M55" s="24"/>
      <c r="N55" s="24"/>
    </row>
    <row r="56" spans="1:14" ht="47.25">
      <c r="A56" s="9" t="s">
        <v>156</v>
      </c>
      <c r="B56" s="15">
        <v>30</v>
      </c>
      <c r="C56" s="13">
        <f>Dezembro2015!C56-(F56)</f>
        <v>22</v>
      </c>
      <c r="D56" s="10" t="s">
        <v>39</v>
      </c>
      <c r="E56" s="11" t="s">
        <v>86</v>
      </c>
      <c r="F56" s="20">
        <f>2</f>
        <v>2</v>
      </c>
      <c r="G56" s="25"/>
      <c r="H56" s="21"/>
      <c r="I56" s="22">
        <v>4.3600000000000003</v>
      </c>
      <c r="J56" s="22">
        <f t="shared" si="3"/>
        <v>8.7200000000000006</v>
      </c>
      <c r="K56" s="23"/>
      <c r="L56" s="23"/>
      <c r="M56" s="24"/>
      <c r="N56" s="24"/>
    </row>
    <row r="57" spans="1:14" ht="31.5">
      <c r="A57" s="9" t="s">
        <v>157</v>
      </c>
      <c r="B57" s="15">
        <v>30</v>
      </c>
      <c r="C57" s="13">
        <f>Dezembro2015!C57-(F57)</f>
        <v>24</v>
      </c>
      <c r="D57" s="10" t="s">
        <v>39</v>
      </c>
      <c r="E57" s="11" t="s">
        <v>87</v>
      </c>
      <c r="F57" s="20">
        <f>2</f>
        <v>2</v>
      </c>
      <c r="G57" s="25"/>
      <c r="H57" s="21"/>
      <c r="I57" s="22"/>
      <c r="J57" s="22"/>
      <c r="K57" s="23">
        <v>8.9</v>
      </c>
      <c r="L57" s="23">
        <f t="shared" si="1"/>
        <v>17.8</v>
      </c>
      <c r="M57" s="24"/>
      <c r="N57" s="24"/>
    </row>
    <row r="58" spans="1:14" ht="19.5">
      <c r="A58" s="9" t="s">
        <v>158</v>
      </c>
      <c r="B58" s="15">
        <v>20</v>
      </c>
      <c r="C58" s="13">
        <f>Dezembro2015!C58-(F58)</f>
        <v>16</v>
      </c>
      <c r="D58" s="10" t="s">
        <v>15</v>
      </c>
      <c r="E58" s="11" t="s">
        <v>88</v>
      </c>
      <c r="F58" s="19">
        <f>1</f>
        <v>1</v>
      </c>
      <c r="G58" s="25"/>
      <c r="H58" s="21"/>
      <c r="I58" s="22">
        <v>26.99</v>
      </c>
      <c r="J58" s="22">
        <f t="shared" si="3"/>
        <v>26.99</v>
      </c>
      <c r="K58" s="23"/>
      <c r="L58" s="23"/>
      <c r="M58" s="24"/>
      <c r="N58" s="24"/>
    </row>
    <row r="59" spans="1:14" ht="47.25">
      <c r="A59" s="9" t="s">
        <v>159</v>
      </c>
      <c r="B59" s="15">
        <v>15</v>
      </c>
      <c r="C59" s="13">
        <f>Dezembro2015!C59-(F59)</f>
        <v>12</v>
      </c>
      <c r="D59" s="10" t="s">
        <v>89</v>
      </c>
      <c r="E59" s="11" t="s">
        <v>90</v>
      </c>
      <c r="F59" s="18">
        <f>1</f>
        <v>1</v>
      </c>
      <c r="G59" s="25"/>
      <c r="H59" s="21"/>
      <c r="I59" s="22"/>
      <c r="J59" s="22"/>
      <c r="K59" s="23">
        <v>129.49</v>
      </c>
      <c r="L59" s="23">
        <f t="shared" si="1"/>
        <v>129.49</v>
      </c>
      <c r="M59" s="24"/>
      <c r="N59" s="24"/>
    </row>
    <row r="60" spans="1:14" ht="31.5">
      <c r="A60" s="9" t="s">
        <v>160</v>
      </c>
      <c r="B60" s="15">
        <v>80</v>
      </c>
      <c r="C60" s="13">
        <f>Dezembro2015!C60-(F60)</f>
        <v>52</v>
      </c>
      <c r="D60" s="10" t="s">
        <v>63</v>
      </c>
      <c r="E60" s="12" t="s">
        <v>91</v>
      </c>
      <c r="F60" s="17">
        <f>11</f>
        <v>11</v>
      </c>
      <c r="G60" s="21"/>
      <c r="H60" s="21"/>
      <c r="I60" s="22"/>
      <c r="J60" s="22"/>
      <c r="K60" s="23">
        <v>2.97</v>
      </c>
      <c r="L60" s="23">
        <f t="shared" si="1"/>
        <v>32.67</v>
      </c>
      <c r="M60" s="24"/>
      <c r="N60" s="24"/>
    </row>
    <row r="61" spans="1:14" ht="31.5">
      <c r="A61" s="9" t="s">
        <v>161</v>
      </c>
      <c r="B61" s="15">
        <v>500</v>
      </c>
      <c r="C61" s="13">
        <f>Dezembro2015!C61-(F61)</f>
        <v>324</v>
      </c>
      <c r="D61" s="10" t="s">
        <v>63</v>
      </c>
      <c r="E61" s="11" t="s">
        <v>92</v>
      </c>
      <c r="F61" s="18">
        <f>68</f>
        <v>68</v>
      </c>
      <c r="G61" s="25"/>
      <c r="H61" s="21"/>
      <c r="I61" s="22"/>
      <c r="J61" s="22"/>
      <c r="K61" s="23">
        <v>1.33</v>
      </c>
      <c r="L61" s="23">
        <f t="shared" si="1"/>
        <v>90.44</v>
      </c>
      <c r="M61" s="24"/>
      <c r="N61" s="24"/>
    </row>
    <row r="62" spans="1:14" ht="31.5">
      <c r="A62" s="9" t="s">
        <v>162</v>
      </c>
      <c r="B62" s="15">
        <v>500</v>
      </c>
      <c r="C62" s="13">
        <f>Dezembro2015!C62-(F62)</f>
        <v>324</v>
      </c>
      <c r="D62" s="10" t="s">
        <v>63</v>
      </c>
      <c r="E62" s="11" t="s">
        <v>93</v>
      </c>
      <c r="F62" s="18">
        <f>68</f>
        <v>68</v>
      </c>
      <c r="G62" s="25"/>
      <c r="H62" s="21"/>
      <c r="I62" s="22"/>
      <c r="J62" s="22"/>
      <c r="K62" s="23">
        <v>1.78</v>
      </c>
      <c r="L62" s="23">
        <f t="shared" si="1"/>
        <v>121.04</v>
      </c>
      <c r="M62" s="24"/>
      <c r="N62" s="24"/>
    </row>
    <row r="63" spans="1:14" ht="31.5">
      <c r="A63" s="9" t="s">
        <v>163</v>
      </c>
      <c r="B63" s="15">
        <v>50</v>
      </c>
      <c r="C63" s="13">
        <f>Dezembro2015!C63-(F63)</f>
        <v>34</v>
      </c>
      <c r="D63" s="10" t="s">
        <v>63</v>
      </c>
      <c r="E63" s="12" t="s">
        <v>94</v>
      </c>
      <c r="F63" s="18">
        <f>6</f>
        <v>6</v>
      </c>
      <c r="G63" s="25"/>
      <c r="H63" s="21"/>
      <c r="I63" s="22"/>
      <c r="J63" s="22"/>
      <c r="K63" s="23">
        <v>3.88</v>
      </c>
      <c r="L63" s="23">
        <f t="shared" si="1"/>
        <v>23.28</v>
      </c>
      <c r="M63" s="24"/>
      <c r="N63" s="24"/>
    </row>
    <row r="64" spans="1:14" ht="31.5">
      <c r="A64" s="9" t="s">
        <v>164</v>
      </c>
      <c r="B64" s="15">
        <v>600</v>
      </c>
      <c r="C64" s="13">
        <f>Dezembro2015!C64-(F64)</f>
        <v>386</v>
      </c>
      <c r="D64" s="10" t="s">
        <v>63</v>
      </c>
      <c r="E64" s="11" t="s">
        <v>95</v>
      </c>
      <c r="F64" s="18">
        <f>82</f>
        <v>82</v>
      </c>
      <c r="G64" s="25"/>
      <c r="H64" s="21"/>
      <c r="I64" s="22"/>
      <c r="J64" s="22"/>
      <c r="K64" s="23">
        <v>0.87</v>
      </c>
      <c r="L64" s="23">
        <f t="shared" si="1"/>
        <v>71.34</v>
      </c>
      <c r="M64" s="24"/>
      <c r="N64" s="24"/>
    </row>
    <row r="65" spans="1:14" ht="31.5">
      <c r="A65" s="9" t="s">
        <v>165</v>
      </c>
      <c r="B65" s="15">
        <v>60</v>
      </c>
      <c r="C65" s="13">
        <f>Dezembro2015!C65-(F65)</f>
        <v>39</v>
      </c>
      <c r="D65" s="10" t="s">
        <v>63</v>
      </c>
      <c r="E65" s="11" t="s">
        <v>96</v>
      </c>
      <c r="F65" s="19">
        <f>8</f>
        <v>8</v>
      </c>
      <c r="G65" s="25"/>
      <c r="H65" s="21"/>
      <c r="I65" s="22"/>
      <c r="J65" s="22"/>
      <c r="K65" s="23">
        <v>3.09</v>
      </c>
      <c r="L65" s="23">
        <f t="shared" si="1"/>
        <v>24.72</v>
      </c>
      <c r="M65" s="24"/>
      <c r="N65" s="24"/>
    </row>
    <row r="66" spans="1:14" ht="31.5">
      <c r="A66" s="9" t="s">
        <v>166</v>
      </c>
      <c r="B66" s="15">
        <v>100</v>
      </c>
      <c r="C66" s="13">
        <f>Dezembro2015!C66-(F66)</f>
        <v>66</v>
      </c>
      <c r="D66" s="10" t="s">
        <v>63</v>
      </c>
      <c r="E66" s="11" t="s">
        <v>97</v>
      </c>
      <c r="F66" s="18">
        <f>13</f>
        <v>13</v>
      </c>
      <c r="G66" s="25"/>
      <c r="H66" s="21"/>
      <c r="I66" s="22"/>
      <c r="J66" s="22"/>
      <c r="K66" s="23">
        <v>3.14</v>
      </c>
      <c r="L66" s="23">
        <f t="shared" si="1"/>
        <v>40.82</v>
      </c>
      <c r="M66" s="24"/>
      <c r="N66" s="24"/>
    </row>
    <row r="67" spans="1:14" ht="31.5">
      <c r="A67" s="9" t="s">
        <v>167</v>
      </c>
      <c r="B67" s="15">
        <v>100</v>
      </c>
      <c r="C67" s="13">
        <f>Dezembro2015!C67-(F67)</f>
        <v>66</v>
      </c>
      <c r="D67" s="10" t="s">
        <v>63</v>
      </c>
      <c r="E67" s="11" t="s">
        <v>98</v>
      </c>
      <c r="F67" s="18">
        <f>13</f>
        <v>13</v>
      </c>
      <c r="G67" s="25"/>
      <c r="H67" s="21"/>
      <c r="I67" s="22"/>
      <c r="J67" s="22"/>
      <c r="K67" s="23">
        <v>3.53</v>
      </c>
      <c r="L67" s="23">
        <f t="shared" si="1"/>
        <v>45.89</v>
      </c>
      <c r="M67" s="24"/>
      <c r="N67" s="24"/>
    </row>
    <row r="68" spans="1:14" ht="31.5">
      <c r="A68" s="9" t="s">
        <v>168</v>
      </c>
      <c r="B68" s="15">
        <v>100</v>
      </c>
      <c r="C68" s="13">
        <f>Dezembro2015!C68-(F68)</f>
        <v>66</v>
      </c>
      <c r="D68" s="10" t="s">
        <v>63</v>
      </c>
      <c r="E68" s="11" t="s">
        <v>99</v>
      </c>
      <c r="F68" s="18">
        <f>13</f>
        <v>13</v>
      </c>
      <c r="G68" s="25"/>
      <c r="H68" s="21"/>
      <c r="I68" s="22"/>
      <c r="J68" s="22"/>
      <c r="K68" s="23">
        <v>3.29</v>
      </c>
      <c r="L68" s="23">
        <f t="shared" si="1"/>
        <v>42.77</v>
      </c>
      <c r="M68" s="24"/>
      <c r="N68" s="24"/>
    </row>
    <row r="69" spans="1:14" ht="31.5">
      <c r="A69" s="9" t="s">
        <v>169</v>
      </c>
      <c r="B69" s="15">
        <v>100</v>
      </c>
      <c r="C69" s="13">
        <f>Dezembro2015!C69-(F69)</f>
        <v>66</v>
      </c>
      <c r="D69" s="10" t="s">
        <v>63</v>
      </c>
      <c r="E69" s="11" t="s">
        <v>100</v>
      </c>
      <c r="F69" s="18">
        <f>13</f>
        <v>13</v>
      </c>
      <c r="G69" s="25"/>
      <c r="H69" s="21"/>
      <c r="I69" s="22"/>
      <c r="J69" s="22"/>
      <c r="K69" s="23">
        <v>3.29</v>
      </c>
      <c r="L69" s="23">
        <f t="shared" si="1"/>
        <v>42.77</v>
      </c>
      <c r="M69" s="24"/>
      <c r="N69" s="24"/>
    </row>
    <row r="70" spans="1:14" ht="19.5">
      <c r="A70" s="9" t="s">
        <v>170</v>
      </c>
      <c r="B70" s="15">
        <v>120</v>
      </c>
      <c r="C70" s="13">
        <f>Dezembro2015!C70-(F70)</f>
        <v>68</v>
      </c>
      <c r="D70" s="10" t="s">
        <v>44</v>
      </c>
      <c r="E70" s="11" t="s">
        <v>101</v>
      </c>
      <c r="F70" s="18">
        <f>16</f>
        <v>16</v>
      </c>
      <c r="G70" s="25"/>
      <c r="H70" s="21"/>
      <c r="I70" s="22"/>
      <c r="J70" s="22"/>
      <c r="K70" s="23"/>
      <c r="L70" s="23"/>
      <c r="M70" s="24">
        <v>3.99</v>
      </c>
      <c r="N70" s="24">
        <f t="shared" si="2"/>
        <v>63.84</v>
      </c>
    </row>
    <row r="71" spans="1:14" ht="47.25">
      <c r="A71" s="9" t="s">
        <v>171</v>
      </c>
      <c r="B71" s="15">
        <v>10</v>
      </c>
      <c r="C71" s="13">
        <f>Dezembro2015!C71-(F71)</f>
        <v>7</v>
      </c>
      <c r="D71" s="10" t="s">
        <v>102</v>
      </c>
      <c r="E71" s="11" t="s">
        <v>103</v>
      </c>
      <c r="F71" s="18">
        <f>1</f>
        <v>1</v>
      </c>
      <c r="G71" s="25"/>
      <c r="H71" s="21"/>
      <c r="I71" s="22"/>
      <c r="J71" s="22"/>
      <c r="K71" s="23">
        <v>13.4</v>
      </c>
      <c r="L71" s="23">
        <f t="shared" si="1"/>
        <v>13.4</v>
      </c>
      <c r="M71" s="24"/>
      <c r="N71" s="24"/>
    </row>
    <row r="72" spans="1:14" ht="19.5">
      <c r="A72" s="9" t="s">
        <v>172</v>
      </c>
      <c r="B72" s="15">
        <v>30</v>
      </c>
      <c r="C72" s="13">
        <f>Dezembro2015!C72-(F72)</f>
        <v>20</v>
      </c>
      <c r="D72" s="10" t="s">
        <v>102</v>
      </c>
      <c r="E72" s="11" t="s">
        <v>104</v>
      </c>
      <c r="F72" s="20">
        <f>4</f>
        <v>4</v>
      </c>
      <c r="G72" s="25"/>
      <c r="H72" s="21"/>
      <c r="I72" s="22"/>
      <c r="J72" s="22"/>
      <c r="K72" s="23">
        <v>5.7</v>
      </c>
      <c r="L72" s="23">
        <f t="shared" si="1"/>
        <v>22.8</v>
      </c>
      <c r="M72" s="24"/>
      <c r="N72" s="24"/>
    </row>
    <row r="73" spans="1:14" ht="19.5">
      <c r="A73" s="9" t="s">
        <v>173</v>
      </c>
      <c r="B73" s="15">
        <v>200</v>
      </c>
      <c r="C73" s="13">
        <f>Dezembro2015!C73-(F73)</f>
        <v>114</v>
      </c>
      <c r="D73" s="10" t="s">
        <v>63</v>
      </c>
      <c r="E73" s="11" t="s">
        <v>105</v>
      </c>
      <c r="F73" s="20">
        <f>27</f>
        <v>27</v>
      </c>
      <c r="G73" s="25"/>
      <c r="H73" s="21"/>
      <c r="I73" s="22"/>
      <c r="J73" s="22"/>
      <c r="K73" s="23"/>
      <c r="L73" s="23"/>
      <c r="M73" s="24">
        <v>8.89</v>
      </c>
      <c r="N73" s="24">
        <f t="shared" si="2"/>
        <v>240.03000000000003</v>
      </c>
    </row>
    <row r="74" spans="1:14" ht="47.25">
      <c r="A74" s="9" t="s">
        <v>174</v>
      </c>
      <c r="B74" s="15">
        <v>20</v>
      </c>
      <c r="C74" s="13">
        <f>Dezembro2015!C74-(F74)</f>
        <v>20</v>
      </c>
      <c r="D74" s="10" t="s">
        <v>44</v>
      </c>
      <c r="E74" s="11" t="s">
        <v>106</v>
      </c>
      <c r="F74" s="20"/>
      <c r="G74" s="25"/>
      <c r="H74" s="21"/>
      <c r="I74" s="22">
        <v>7.58</v>
      </c>
      <c r="J74" s="22">
        <f t="shared" ref="J74" si="4">F74*I74</f>
        <v>0</v>
      </c>
      <c r="K74" s="23"/>
      <c r="L74" s="23"/>
      <c r="M74" s="24"/>
      <c r="N74" s="24"/>
    </row>
    <row r="75" spans="1:14" ht="63">
      <c r="A75" s="9" t="s">
        <v>175</v>
      </c>
      <c r="B75" s="15">
        <v>30</v>
      </c>
      <c r="C75" s="13">
        <f>Dezembro2015!C75-(F75)</f>
        <v>24</v>
      </c>
      <c r="D75" s="10" t="s">
        <v>44</v>
      </c>
      <c r="E75" s="11" t="s">
        <v>107</v>
      </c>
      <c r="F75" s="19"/>
      <c r="G75" s="25"/>
      <c r="H75" s="21"/>
      <c r="I75" s="22"/>
      <c r="J75" s="22"/>
      <c r="K75" s="23">
        <v>11.4</v>
      </c>
      <c r="L75" s="23">
        <f t="shared" ref="L75:L91" si="5">F75*K75</f>
        <v>0</v>
      </c>
      <c r="M75" s="24"/>
      <c r="N75" s="24"/>
    </row>
    <row r="76" spans="1:14" ht="19.5">
      <c r="A76" s="9" t="s">
        <v>176</v>
      </c>
      <c r="B76" s="15">
        <v>40</v>
      </c>
      <c r="C76" s="13">
        <f>Dezembro2015!C76-(F76)</f>
        <v>27</v>
      </c>
      <c r="D76" s="10" t="s">
        <v>44</v>
      </c>
      <c r="E76" s="11" t="s">
        <v>108</v>
      </c>
      <c r="F76" s="18">
        <f>5</f>
        <v>5</v>
      </c>
      <c r="G76" s="25"/>
      <c r="H76" s="21"/>
      <c r="I76" s="22"/>
      <c r="J76" s="22"/>
      <c r="K76" s="23">
        <v>2.1800000000000002</v>
      </c>
      <c r="L76" s="23">
        <f t="shared" si="5"/>
        <v>10.9</v>
      </c>
      <c r="M76" s="24"/>
      <c r="N76" s="24"/>
    </row>
    <row r="77" spans="1:14" ht="19.5">
      <c r="A77" s="9" t="s">
        <v>177</v>
      </c>
      <c r="B77" s="15">
        <v>20</v>
      </c>
      <c r="C77" s="13">
        <f>Dezembro2015!C77-(F77)</f>
        <v>20</v>
      </c>
      <c r="D77" s="10" t="s">
        <v>44</v>
      </c>
      <c r="E77" s="11" t="s">
        <v>109</v>
      </c>
      <c r="F77" s="17"/>
      <c r="G77" s="21">
        <v>3.9</v>
      </c>
      <c r="H77" s="21">
        <f t="shared" ref="H77" si="6">F77*G77</f>
        <v>0</v>
      </c>
      <c r="I77" s="22"/>
      <c r="J77" s="22"/>
      <c r="K77" s="23"/>
      <c r="L77" s="23"/>
      <c r="M77" s="24"/>
      <c r="N77" s="24"/>
    </row>
    <row r="78" spans="1:14" ht="19.5">
      <c r="A78" s="9" t="s">
        <v>178</v>
      </c>
      <c r="B78" s="15">
        <v>20</v>
      </c>
      <c r="C78" s="13">
        <f>Dezembro2015!C78-(F78)</f>
        <v>15</v>
      </c>
      <c r="D78" s="10" t="s">
        <v>44</v>
      </c>
      <c r="E78" s="11" t="s">
        <v>110</v>
      </c>
      <c r="F78" s="18">
        <f>2</f>
        <v>2</v>
      </c>
      <c r="G78" s="25"/>
      <c r="H78" s="21"/>
      <c r="I78" s="22"/>
      <c r="J78" s="22"/>
      <c r="K78" s="23">
        <v>14.89</v>
      </c>
      <c r="L78" s="23">
        <f t="shared" si="5"/>
        <v>29.78</v>
      </c>
      <c r="M78" s="24"/>
      <c r="N78" s="24"/>
    </row>
    <row r="79" spans="1:14" ht="19.5">
      <c r="A79" s="9" t="s">
        <v>179</v>
      </c>
      <c r="B79" s="15">
        <v>120</v>
      </c>
      <c r="C79" s="13">
        <f>Dezembro2015!C79-(F79)</f>
        <v>68</v>
      </c>
      <c r="D79" s="10" t="s">
        <v>44</v>
      </c>
      <c r="E79" s="11" t="s">
        <v>111</v>
      </c>
      <c r="F79" s="18">
        <f>16</f>
        <v>16</v>
      </c>
      <c r="G79" s="25"/>
      <c r="H79" s="21"/>
      <c r="I79" s="22"/>
      <c r="J79" s="22"/>
      <c r="K79" s="23"/>
      <c r="L79" s="23"/>
      <c r="M79" s="24">
        <v>3.7</v>
      </c>
      <c r="N79" s="24">
        <f t="shared" ref="N79:N80" si="7">F79*M79</f>
        <v>59.2</v>
      </c>
    </row>
    <row r="80" spans="1:14" ht="19.5">
      <c r="A80" s="9" t="s">
        <v>180</v>
      </c>
      <c r="B80" s="15">
        <v>200</v>
      </c>
      <c r="C80" s="13">
        <f>Dezembro2015!C80-(F80)</f>
        <v>114</v>
      </c>
      <c r="D80" s="10" t="s">
        <v>39</v>
      </c>
      <c r="E80" s="11" t="s">
        <v>112</v>
      </c>
      <c r="F80" s="18">
        <f>27</f>
        <v>27</v>
      </c>
      <c r="G80" s="25"/>
      <c r="H80" s="21"/>
      <c r="I80" s="22"/>
      <c r="J80" s="22"/>
      <c r="K80" s="23"/>
      <c r="L80" s="23"/>
      <c r="M80" s="24">
        <v>6.34</v>
      </c>
      <c r="N80" s="24">
        <f t="shared" si="7"/>
        <v>171.18</v>
      </c>
    </row>
    <row r="81" spans="1:14" ht="19.5">
      <c r="A81" s="9" t="s">
        <v>181</v>
      </c>
      <c r="B81" s="15">
        <v>200</v>
      </c>
      <c r="C81" s="13">
        <f>Dezembro2015!C81-(F81)</f>
        <v>130</v>
      </c>
      <c r="D81" s="10" t="s">
        <v>102</v>
      </c>
      <c r="E81" s="11" t="s">
        <v>113</v>
      </c>
      <c r="F81" s="18">
        <f>27</f>
        <v>27</v>
      </c>
      <c r="G81" s="25"/>
      <c r="H81" s="21"/>
      <c r="I81" s="22"/>
      <c r="J81" s="22"/>
      <c r="K81" s="23">
        <v>1.18</v>
      </c>
      <c r="L81" s="23">
        <f t="shared" si="5"/>
        <v>31.86</v>
      </c>
      <c r="M81" s="24"/>
      <c r="N81" s="24"/>
    </row>
    <row r="82" spans="1:14" ht="19.5">
      <c r="A82" s="9" t="s">
        <v>182</v>
      </c>
      <c r="B82" s="15">
        <v>200</v>
      </c>
      <c r="C82" s="13">
        <f>Dezembro2015!C82-(F82)</f>
        <v>130</v>
      </c>
      <c r="D82" s="10" t="s">
        <v>63</v>
      </c>
      <c r="E82" s="11" t="s">
        <v>114</v>
      </c>
      <c r="F82" s="19">
        <f>27</f>
        <v>27</v>
      </c>
      <c r="G82" s="25"/>
      <c r="H82" s="21"/>
      <c r="I82" s="22"/>
      <c r="J82" s="22"/>
      <c r="K82" s="23">
        <v>3.6</v>
      </c>
      <c r="L82" s="23">
        <f t="shared" si="5"/>
        <v>97.2</v>
      </c>
      <c r="M82" s="24"/>
      <c r="N82" s="24"/>
    </row>
    <row r="83" spans="1:14" ht="19.5">
      <c r="A83" s="9" t="s">
        <v>183</v>
      </c>
      <c r="B83" s="15">
        <v>200</v>
      </c>
      <c r="C83" s="13">
        <f>Dezembro2015!C83-(F83)</f>
        <v>130</v>
      </c>
      <c r="D83" s="10" t="s">
        <v>44</v>
      </c>
      <c r="E83" s="11" t="s">
        <v>115</v>
      </c>
      <c r="F83" s="18">
        <f>27</f>
        <v>27</v>
      </c>
      <c r="G83" s="25"/>
      <c r="H83" s="21"/>
      <c r="I83" s="22"/>
      <c r="J83" s="22"/>
      <c r="K83" s="23">
        <v>1.0900000000000001</v>
      </c>
      <c r="L83" s="23">
        <f t="shared" si="5"/>
        <v>29.430000000000003</v>
      </c>
      <c r="M83" s="24"/>
      <c r="N83" s="24"/>
    </row>
    <row r="84" spans="1:14" ht="19.5">
      <c r="A84" s="9" t="s">
        <v>184</v>
      </c>
      <c r="B84" s="15">
        <v>300</v>
      </c>
      <c r="C84" s="13">
        <f>Dezembro2015!C84-(F84)</f>
        <v>195</v>
      </c>
      <c r="D84" s="10" t="s">
        <v>63</v>
      </c>
      <c r="E84" s="11" t="s">
        <v>116</v>
      </c>
      <c r="F84" s="18">
        <f>40</f>
        <v>40</v>
      </c>
      <c r="G84" s="25"/>
      <c r="H84" s="21"/>
      <c r="I84" s="22"/>
      <c r="J84" s="22"/>
      <c r="K84" s="23">
        <v>1.38</v>
      </c>
      <c r="L84" s="23">
        <f t="shared" si="5"/>
        <v>55.199999999999996</v>
      </c>
      <c r="M84" s="24"/>
      <c r="N84" s="24"/>
    </row>
    <row r="85" spans="1:14" ht="19.5">
      <c r="A85" s="9" t="s">
        <v>185</v>
      </c>
      <c r="B85" s="15">
        <v>100</v>
      </c>
      <c r="C85" s="13">
        <f>Dezembro2015!C85-(F85)</f>
        <v>66</v>
      </c>
      <c r="D85" s="10" t="s">
        <v>63</v>
      </c>
      <c r="E85" s="11" t="s">
        <v>117</v>
      </c>
      <c r="F85" s="18">
        <f>13</f>
        <v>13</v>
      </c>
      <c r="G85" s="25"/>
      <c r="H85" s="21"/>
      <c r="I85" s="22"/>
      <c r="J85" s="22"/>
      <c r="K85" s="23">
        <v>0.9</v>
      </c>
      <c r="L85" s="23">
        <f t="shared" si="5"/>
        <v>11.700000000000001</v>
      </c>
      <c r="M85" s="24"/>
      <c r="N85" s="24"/>
    </row>
    <row r="86" spans="1:14" ht="19.5">
      <c r="A86" s="9" t="s">
        <v>186</v>
      </c>
      <c r="B86" s="15">
        <v>160</v>
      </c>
      <c r="C86" s="13">
        <f>Dezembro2015!C86-(F86)</f>
        <v>103</v>
      </c>
      <c r="D86" s="10" t="s">
        <v>44</v>
      </c>
      <c r="E86" s="11" t="s">
        <v>118</v>
      </c>
      <c r="F86" s="18">
        <f>22</f>
        <v>22</v>
      </c>
      <c r="G86" s="25"/>
      <c r="H86" s="21"/>
      <c r="I86" s="22"/>
      <c r="J86" s="22"/>
      <c r="K86" s="23">
        <v>4.87</v>
      </c>
      <c r="L86" s="23">
        <f t="shared" si="5"/>
        <v>107.14</v>
      </c>
      <c r="M86" s="24"/>
      <c r="N86" s="24"/>
    </row>
    <row r="87" spans="1:14" ht="19.5">
      <c r="A87" s="9" t="s">
        <v>187</v>
      </c>
      <c r="B87" s="15">
        <v>100</v>
      </c>
      <c r="C87" s="13">
        <f>Dezembro2015!C87-(F87)</f>
        <v>66</v>
      </c>
      <c r="D87" s="10" t="s">
        <v>102</v>
      </c>
      <c r="E87" s="11" t="s">
        <v>119</v>
      </c>
      <c r="F87" s="18">
        <f>13</f>
        <v>13</v>
      </c>
      <c r="G87" s="25"/>
      <c r="H87" s="21"/>
      <c r="I87" s="22"/>
      <c r="J87" s="22"/>
      <c r="K87" s="23">
        <v>2.19</v>
      </c>
      <c r="L87" s="23">
        <f t="shared" si="5"/>
        <v>28.47</v>
      </c>
      <c r="M87" s="24"/>
      <c r="N87" s="24"/>
    </row>
    <row r="88" spans="1:14" ht="31.5">
      <c r="A88" s="9" t="s">
        <v>188</v>
      </c>
      <c r="B88" s="16">
        <v>50</v>
      </c>
      <c r="C88" s="13">
        <f>Dezembro2015!C88-(F88)</f>
        <v>34</v>
      </c>
      <c r="D88" s="10" t="s">
        <v>120</v>
      </c>
      <c r="E88" s="11" t="s">
        <v>121</v>
      </c>
      <c r="F88" s="18">
        <f>6</f>
        <v>6</v>
      </c>
      <c r="G88" s="25"/>
      <c r="H88" s="21"/>
      <c r="I88" s="22"/>
      <c r="J88" s="22"/>
      <c r="K88" s="23">
        <v>4.58</v>
      </c>
      <c r="L88" s="23">
        <f t="shared" si="5"/>
        <v>27.48</v>
      </c>
      <c r="M88" s="24"/>
      <c r="N88" s="24"/>
    </row>
    <row r="89" spans="1:14" ht="19.5">
      <c r="A89" s="9" t="s">
        <v>189</v>
      </c>
      <c r="B89" s="15">
        <v>120</v>
      </c>
      <c r="C89" s="13">
        <f>Dezembro2015!C89-(F89)</f>
        <v>78</v>
      </c>
      <c r="D89" s="10" t="s">
        <v>44</v>
      </c>
      <c r="E89" s="11" t="s">
        <v>122</v>
      </c>
      <c r="F89" s="20">
        <f>16</f>
        <v>16</v>
      </c>
      <c r="G89" s="25"/>
      <c r="H89" s="21"/>
      <c r="I89" s="22"/>
      <c r="J89" s="22"/>
      <c r="K89" s="23">
        <v>4.6100000000000003</v>
      </c>
      <c r="L89" s="23">
        <f t="shared" si="5"/>
        <v>73.760000000000005</v>
      </c>
      <c r="M89" s="24"/>
      <c r="N89" s="24"/>
    </row>
    <row r="90" spans="1:14" ht="19.5">
      <c r="A90" s="9" t="s">
        <v>190</v>
      </c>
      <c r="B90" s="15">
        <v>120</v>
      </c>
      <c r="C90" s="13">
        <f>Dezembro2015!C90-(F90)</f>
        <v>78</v>
      </c>
      <c r="D90" s="10" t="s">
        <v>44</v>
      </c>
      <c r="E90" s="11" t="s">
        <v>123</v>
      </c>
      <c r="F90" s="20">
        <f>16</f>
        <v>16</v>
      </c>
      <c r="G90" s="25"/>
      <c r="H90" s="21"/>
      <c r="I90" s="22"/>
      <c r="J90" s="22"/>
      <c r="K90" s="23">
        <v>4.13</v>
      </c>
      <c r="L90" s="23">
        <f t="shared" si="5"/>
        <v>66.08</v>
      </c>
      <c r="M90" s="24"/>
      <c r="N90" s="24"/>
    </row>
    <row r="91" spans="1:14" ht="19.5">
      <c r="A91" s="9" t="s">
        <v>191</v>
      </c>
      <c r="B91" s="15">
        <v>48</v>
      </c>
      <c r="C91" s="13">
        <f>Dezembro2015!C91-(F91)</f>
        <v>32</v>
      </c>
      <c r="D91" s="10" t="s">
        <v>44</v>
      </c>
      <c r="E91" s="11" t="s">
        <v>124</v>
      </c>
      <c r="F91" s="20">
        <f>6</f>
        <v>6</v>
      </c>
      <c r="G91" s="25"/>
      <c r="H91" s="21"/>
      <c r="I91" s="22"/>
      <c r="J91" s="22"/>
      <c r="K91" s="23">
        <v>4.99</v>
      </c>
      <c r="L91" s="23">
        <f t="shared" si="5"/>
        <v>29.94</v>
      </c>
      <c r="M91" s="24"/>
      <c r="N91" s="24"/>
    </row>
    <row r="92" spans="1:14" ht="20.25">
      <c r="A92" s="43" t="s">
        <v>13</v>
      </c>
      <c r="B92" s="43"/>
      <c r="C92" s="43"/>
      <c r="D92" s="43"/>
      <c r="E92" s="43"/>
      <c r="F92" s="44"/>
      <c r="G92" s="45">
        <f>SUM(H9:H91)</f>
        <v>6170.9800000000014</v>
      </c>
      <c r="H92" s="46"/>
      <c r="I92" s="47">
        <f>SUM(J9:J91)</f>
        <v>5688.119999999999</v>
      </c>
      <c r="J92" s="48"/>
      <c r="K92" s="49">
        <f>SUM(L9:L91)</f>
        <v>6122.6299999999983</v>
      </c>
      <c r="L92" s="50"/>
      <c r="M92" s="51">
        <f>SUM(N9:N91)</f>
        <v>2652.1099999999997</v>
      </c>
      <c r="N92" s="52"/>
    </row>
  </sheetData>
  <mergeCells count="19">
    <mergeCell ref="M7:N7"/>
    <mergeCell ref="A92:F92"/>
    <mergeCell ref="G92:H92"/>
    <mergeCell ref="I92:J92"/>
    <mergeCell ref="K92:L92"/>
    <mergeCell ref="M92:N92"/>
    <mergeCell ref="A2:L2"/>
    <mergeCell ref="A3:L3"/>
    <mergeCell ref="A4:L4"/>
    <mergeCell ref="A5:L5"/>
    <mergeCell ref="A7:A8"/>
    <mergeCell ref="B7:B8"/>
    <mergeCell ref="C7:C8"/>
    <mergeCell ref="D7:D8"/>
    <mergeCell ref="E7:E8"/>
    <mergeCell ref="F7:F8"/>
    <mergeCell ref="G7:H7"/>
    <mergeCell ref="I7:J7"/>
    <mergeCell ref="K7:L7"/>
  </mergeCells>
  <conditionalFormatting sqref="C9:C91">
    <cfRule type="cellIs" dxfId="7" priority="1" operator="lessThan">
      <formula>1</formula>
    </cfRule>
  </conditionalFormatting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:N92"/>
  <sheetViews>
    <sheetView topLeftCell="A85" zoomScale="80" zoomScaleNormal="80" workbookViewId="0">
      <selection activeCell="I92" sqref="I92:J92"/>
    </sheetView>
  </sheetViews>
  <sheetFormatPr defaultRowHeight="15"/>
  <cols>
    <col min="2" max="2" width="12.7109375" customWidth="1"/>
    <col min="3" max="3" width="13.28515625" customWidth="1"/>
    <col min="5" max="5" width="52.42578125" customWidth="1"/>
    <col min="6" max="6" width="18.28515625" customWidth="1"/>
    <col min="8" max="8" width="15" customWidth="1"/>
    <col min="10" max="10" width="14.140625" customWidth="1"/>
    <col min="12" max="12" width="14.28515625" customWidth="1"/>
    <col min="14" max="14" width="13.85546875" customWidth="1"/>
  </cols>
  <sheetData>
    <row r="1" spans="1:14">
      <c r="A1" s="1"/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1"/>
      <c r="N2" s="1"/>
    </row>
    <row r="3" spans="1:14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1"/>
      <c r="N3" s="1"/>
    </row>
    <row r="4" spans="1:14">
      <c r="A4" s="54" t="s">
        <v>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1"/>
      <c r="N4" s="1"/>
    </row>
    <row r="5" spans="1:14">
      <c r="A5" s="54" t="s">
        <v>125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1"/>
      <c r="N5" s="1"/>
    </row>
    <row r="6" spans="1:14" ht="18.75">
      <c r="A6" s="27"/>
      <c r="B6" s="27"/>
      <c r="C6" s="27"/>
      <c r="D6" s="27"/>
      <c r="E6" s="27"/>
      <c r="F6" s="27"/>
      <c r="G6" s="27"/>
      <c r="H6" s="27"/>
      <c r="I6" s="4"/>
      <c r="J6" s="4"/>
      <c r="K6" s="4"/>
      <c r="L6" s="4"/>
      <c r="M6" s="1"/>
      <c r="N6" s="1"/>
    </row>
    <row r="7" spans="1:14" ht="19.5">
      <c r="A7" s="56" t="s">
        <v>3</v>
      </c>
      <c r="B7" s="56" t="s">
        <v>4</v>
      </c>
      <c r="C7" s="57" t="s">
        <v>5</v>
      </c>
      <c r="D7" s="56" t="s">
        <v>6</v>
      </c>
      <c r="E7" s="56" t="s">
        <v>7</v>
      </c>
      <c r="F7" s="59" t="s">
        <v>8</v>
      </c>
      <c r="G7" s="61" t="s">
        <v>9</v>
      </c>
      <c r="H7" s="61"/>
      <c r="I7" s="62" t="s">
        <v>192</v>
      </c>
      <c r="J7" s="62"/>
      <c r="K7" s="63" t="s">
        <v>10</v>
      </c>
      <c r="L7" s="63"/>
      <c r="M7" s="53" t="s">
        <v>11</v>
      </c>
      <c r="N7" s="53"/>
    </row>
    <row r="8" spans="1:14" ht="19.5">
      <c r="A8" s="56"/>
      <c r="B8" s="56"/>
      <c r="C8" s="58"/>
      <c r="D8" s="56"/>
      <c r="E8" s="56"/>
      <c r="F8" s="60"/>
      <c r="G8" s="5" t="s">
        <v>12</v>
      </c>
      <c r="H8" s="5" t="s">
        <v>13</v>
      </c>
      <c r="I8" s="6" t="s">
        <v>12</v>
      </c>
      <c r="J8" s="6" t="s">
        <v>13</v>
      </c>
      <c r="K8" s="7" t="s">
        <v>12</v>
      </c>
      <c r="L8" s="7" t="s">
        <v>13</v>
      </c>
      <c r="M8" s="8" t="s">
        <v>12</v>
      </c>
      <c r="N8" s="8" t="s">
        <v>13</v>
      </c>
    </row>
    <row r="9" spans="1:14" ht="19.5">
      <c r="A9" s="9" t="s">
        <v>14</v>
      </c>
      <c r="B9" s="15">
        <v>4000</v>
      </c>
      <c r="C9" s="13">
        <f>Janeiro2016!C9-(F9)</f>
        <v>1462</v>
      </c>
      <c r="D9" s="10" t="s">
        <v>15</v>
      </c>
      <c r="E9" s="11" t="s">
        <v>33</v>
      </c>
      <c r="F9" s="17">
        <f>120+648</f>
        <v>768</v>
      </c>
      <c r="G9" s="21"/>
      <c r="H9" s="21"/>
      <c r="I9" s="22">
        <v>1.94</v>
      </c>
      <c r="J9" s="22">
        <f>F9*I9</f>
        <v>1489.92</v>
      </c>
      <c r="K9" s="23"/>
      <c r="L9" s="23"/>
      <c r="M9" s="24"/>
      <c r="N9" s="24"/>
    </row>
    <row r="10" spans="1:14" ht="31.5">
      <c r="A10" s="9" t="s">
        <v>16</v>
      </c>
      <c r="B10" s="15">
        <v>800</v>
      </c>
      <c r="C10" s="13">
        <f>Janeiro2016!C10-(F10)</f>
        <v>262</v>
      </c>
      <c r="D10" s="10" t="s">
        <v>15</v>
      </c>
      <c r="E10" s="11" t="s">
        <v>34</v>
      </c>
      <c r="F10" s="18">
        <f>150</f>
        <v>150</v>
      </c>
      <c r="G10" s="25">
        <v>3.71</v>
      </c>
      <c r="H10" s="21">
        <f t="shared" ref="H10:H46" si="0">F10*G10</f>
        <v>556.5</v>
      </c>
      <c r="I10" s="22"/>
      <c r="J10" s="22"/>
      <c r="K10" s="23"/>
      <c r="L10" s="23"/>
      <c r="M10" s="24"/>
      <c r="N10" s="24"/>
    </row>
    <row r="11" spans="1:14" ht="31.5">
      <c r="A11" s="9" t="s">
        <v>17</v>
      </c>
      <c r="B11" s="15">
        <v>800</v>
      </c>
      <c r="C11" s="13">
        <f>Janeiro2016!C11-(F11)</f>
        <v>336</v>
      </c>
      <c r="D11" s="10" t="s">
        <v>35</v>
      </c>
      <c r="E11" s="11" t="s">
        <v>36</v>
      </c>
      <c r="F11" s="18">
        <f>105+40</f>
        <v>145</v>
      </c>
      <c r="G11" s="25"/>
      <c r="H11" s="21"/>
      <c r="I11" s="22"/>
      <c r="J11" s="22"/>
      <c r="K11" s="23">
        <v>2.04</v>
      </c>
      <c r="L11" s="23">
        <f t="shared" ref="L11:L72" si="1">F11*K11</f>
        <v>295.8</v>
      </c>
      <c r="M11" s="24"/>
      <c r="N11" s="24"/>
    </row>
    <row r="12" spans="1:14" ht="19.5">
      <c r="A12" s="9" t="s">
        <v>18</v>
      </c>
      <c r="B12" s="15">
        <v>60</v>
      </c>
      <c r="C12" s="13">
        <f>Janeiro2016!C12-(F12)</f>
        <v>25</v>
      </c>
      <c r="D12" s="10" t="s">
        <v>15</v>
      </c>
      <c r="E12" s="11" t="s">
        <v>37</v>
      </c>
      <c r="F12" s="18">
        <f>9+2</f>
        <v>11</v>
      </c>
      <c r="G12" s="25"/>
      <c r="H12" s="21"/>
      <c r="I12" s="22"/>
      <c r="J12" s="22"/>
      <c r="K12" s="23">
        <v>1.58</v>
      </c>
      <c r="L12" s="23">
        <f t="shared" si="1"/>
        <v>17.380000000000003</v>
      </c>
      <c r="M12" s="24"/>
      <c r="N12" s="24"/>
    </row>
    <row r="13" spans="1:14" ht="19.5">
      <c r="A13" s="9" t="s">
        <v>19</v>
      </c>
      <c r="B13" s="15">
        <v>1200</v>
      </c>
      <c r="C13" s="13">
        <f>Janeiro2016!C13-(F13)</f>
        <v>368</v>
      </c>
      <c r="D13" s="10" t="s">
        <v>15</v>
      </c>
      <c r="E13" s="11" t="s">
        <v>38</v>
      </c>
      <c r="F13" s="18">
        <f>24+210</f>
        <v>234</v>
      </c>
      <c r="G13" s="25"/>
      <c r="H13" s="21"/>
      <c r="I13" s="22"/>
      <c r="J13" s="22"/>
      <c r="K13" s="23"/>
      <c r="L13" s="23"/>
      <c r="M13" s="24">
        <v>2.27</v>
      </c>
      <c r="N13" s="24">
        <f t="shared" ref="N13:N73" si="2">F13*M13</f>
        <v>531.17999999999995</v>
      </c>
    </row>
    <row r="14" spans="1:14" ht="31.5">
      <c r="A14" s="9" t="s">
        <v>20</v>
      </c>
      <c r="B14" s="15">
        <v>150</v>
      </c>
      <c r="C14" s="13">
        <f>Janeiro2016!C14-(F14)</f>
        <v>50</v>
      </c>
      <c r="D14" s="10" t="s">
        <v>39</v>
      </c>
      <c r="E14" s="11" t="s">
        <v>40</v>
      </c>
      <c r="F14" s="19">
        <f>4+24</f>
        <v>28</v>
      </c>
      <c r="G14" s="25">
        <v>2.46</v>
      </c>
      <c r="H14" s="21">
        <f t="shared" si="0"/>
        <v>68.88</v>
      </c>
      <c r="I14" s="22"/>
      <c r="J14" s="22"/>
      <c r="K14" s="23"/>
      <c r="L14" s="23"/>
      <c r="M14" s="24"/>
      <c r="N14" s="24"/>
    </row>
    <row r="15" spans="1:14" ht="19.5">
      <c r="A15" s="9" t="s">
        <v>21</v>
      </c>
      <c r="B15" s="15">
        <v>150</v>
      </c>
      <c r="C15" s="13">
        <f>Janeiro2016!C15-(F15)</f>
        <v>42</v>
      </c>
      <c r="D15" s="10" t="s">
        <v>39</v>
      </c>
      <c r="E15" s="11" t="s">
        <v>41</v>
      </c>
      <c r="F15" s="18">
        <f>27+1+10</f>
        <v>38</v>
      </c>
      <c r="G15" s="25"/>
      <c r="H15" s="21"/>
      <c r="I15" s="22"/>
      <c r="J15" s="22"/>
      <c r="K15" s="23">
        <v>2.39</v>
      </c>
      <c r="L15" s="23">
        <f t="shared" si="1"/>
        <v>90.820000000000007</v>
      </c>
      <c r="M15" s="24"/>
      <c r="N15" s="24"/>
    </row>
    <row r="16" spans="1:14" ht="19.5">
      <c r="A16" s="9" t="s">
        <v>22</v>
      </c>
      <c r="B16" s="15">
        <v>1200</v>
      </c>
      <c r="C16" s="13">
        <f>Janeiro2016!C16-(F16)</f>
        <v>364</v>
      </c>
      <c r="D16" s="10" t="s">
        <v>35</v>
      </c>
      <c r="E16" s="11" t="s">
        <v>42</v>
      </c>
      <c r="F16" s="18">
        <f>20+216</f>
        <v>236</v>
      </c>
      <c r="G16" s="25">
        <v>3.12</v>
      </c>
      <c r="H16" s="21">
        <f t="shared" si="0"/>
        <v>736.32</v>
      </c>
      <c r="I16" s="22"/>
      <c r="J16" s="22"/>
      <c r="K16" s="23"/>
      <c r="L16" s="23"/>
      <c r="M16" s="24"/>
      <c r="N16" s="24"/>
    </row>
    <row r="17" spans="1:14" ht="19.5">
      <c r="A17" s="9" t="s">
        <v>23</v>
      </c>
      <c r="B17" s="15">
        <v>1200</v>
      </c>
      <c r="C17" s="13">
        <f>Janeiro2016!C17-(F17)</f>
        <v>364</v>
      </c>
      <c r="D17" s="10" t="s">
        <v>35</v>
      </c>
      <c r="E17" s="11" t="s">
        <v>43</v>
      </c>
      <c r="F17" s="18">
        <f>20+216</f>
        <v>236</v>
      </c>
      <c r="G17" s="25">
        <v>3.07</v>
      </c>
      <c r="H17" s="21">
        <f t="shared" si="0"/>
        <v>724.52</v>
      </c>
      <c r="I17" s="22"/>
      <c r="J17" s="22"/>
      <c r="K17" s="23"/>
      <c r="L17" s="23"/>
      <c r="M17" s="24"/>
      <c r="N17" s="24"/>
    </row>
    <row r="18" spans="1:14" ht="19.5">
      <c r="A18" s="9" t="s">
        <v>24</v>
      </c>
      <c r="B18" s="15">
        <v>400</v>
      </c>
      <c r="C18" s="13">
        <f>Janeiro2016!C18-(F18)</f>
        <v>126</v>
      </c>
      <c r="D18" s="10" t="s">
        <v>44</v>
      </c>
      <c r="E18" s="11" t="s">
        <v>45</v>
      </c>
      <c r="F18" s="18">
        <f>10+66</f>
        <v>76</v>
      </c>
      <c r="G18" s="25"/>
      <c r="H18" s="21"/>
      <c r="I18" s="22"/>
      <c r="J18" s="22"/>
      <c r="K18" s="23"/>
      <c r="L18" s="23"/>
      <c r="M18" s="24">
        <v>3.38</v>
      </c>
      <c r="N18" s="24">
        <f t="shared" si="2"/>
        <v>256.88</v>
      </c>
    </row>
    <row r="19" spans="1:14" ht="19.5">
      <c r="A19" s="9" t="s">
        <v>25</v>
      </c>
      <c r="B19" s="15">
        <v>220</v>
      </c>
      <c r="C19" s="13">
        <f>Janeiro2016!C19-(F19)</f>
        <v>104</v>
      </c>
      <c r="D19" s="10" t="s">
        <v>46</v>
      </c>
      <c r="E19" s="11" t="s">
        <v>47</v>
      </c>
      <c r="F19" s="18">
        <f>32+2</f>
        <v>34</v>
      </c>
      <c r="G19" s="25"/>
      <c r="H19" s="21"/>
      <c r="I19" s="22"/>
      <c r="J19" s="22"/>
      <c r="K19" s="23">
        <v>4.03</v>
      </c>
      <c r="L19" s="23">
        <f t="shared" si="1"/>
        <v>137.02000000000001</v>
      </c>
      <c r="M19" s="24"/>
      <c r="N19" s="24"/>
    </row>
    <row r="20" spans="1:14" ht="19.5">
      <c r="A20" s="9" t="s">
        <v>26</v>
      </c>
      <c r="B20" s="15">
        <v>450</v>
      </c>
      <c r="C20" s="13">
        <f>Janeiro2016!C20-(F20)</f>
        <v>166</v>
      </c>
      <c r="D20" s="10" t="s">
        <v>39</v>
      </c>
      <c r="E20" s="11" t="s">
        <v>48</v>
      </c>
      <c r="F20" s="18">
        <f>30+48</f>
        <v>78</v>
      </c>
      <c r="G20" s="25"/>
      <c r="H20" s="21"/>
      <c r="I20" s="22">
        <v>12.22</v>
      </c>
      <c r="J20" s="22">
        <f t="shared" ref="J20:J58" si="3">F20*I20</f>
        <v>953.16000000000008</v>
      </c>
      <c r="K20" s="23"/>
      <c r="L20" s="23"/>
      <c r="M20" s="24"/>
      <c r="N20" s="24"/>
    </row>
    <row r="21" spans="1:14" ht="19.5">
      <c r="A21" s="9" t="s">
        <v>28</v>
      </c>
      <c r="B21" s="15">
        <v>300</v>
      </c>
      <c r="C21" s="13">
        <f>Janeiro2016!C21-(F21)</f>
        <v>127</v>
      </c>
      <c r="D21" s="10" t="s">
        <v>35</v>
      </c>
      <c r="E21" s="11" t="s">
        <v>27</v>
      </c>
      <c r="F21" s="20">
        <f>42+12</f>
        <v>54</v>
      </c>
      <c r="G21" s="25"/>
      <c r="H21" s="21"/>
      <c r="I21" s="22"/>
      <c r="J21" s="22"/>
      <c r="K21" s="23">
        <v>3.05</v>
      </c>
      <c r="L21" s="23">
        <f t="shared" si="1"/>
        <v>164.7</v>
      </c>
      <c r="M21" s="24"/>
      <c r="N21" s="24"/>
    </row>
    <row r="22" spans="1:14" ht="19.5">
      <c r="A22" s="9" t="s">
        <v>29</v>
      </c>
      <c r="B22" s="15">
        <v>400</v>
      </c>
      <c r="C22" s="13">
        <f>Janeiro2016!C22-(F22)</f>
        <v>128</v>
      </c>
      <c r="D22" s="10" t="s">
        <v>35</v>
      </c>
      <c r="E22" s="11" t="s">
        <v>49</v>
      </c>
      <c r="F22" s="20">
        <f>8+69</f>
        <v>77</v>
      </c>
      <c r="G22" s="25">
        <v>1.64</v>
      </c>
      <c r="H22" s="21">
        <f t="shared" si="0"/>
        <v>126.27999999999999</v>
      </c>
      <c r="I22" s="22"/>
      <c r="J22" s="22"/>
      <c r="K22" s="23"/>
      <c r="L22" s="23"/>
      <c r="M22" s="24"/>
      <c r="N22" s="24"/>
    </row>
    <row r="23" spans="1:14" ht="19.5">
      <c r="A23" s="9" t="s">
        <v>30</v>
      </c>
      <c r="B23" s="15">
        <v>200</v>
      </c>
      <c r="C23" s="13">
        <f>Janeiro2016!C23-(F23)</f>
        <v>84</v>
      </c>
      <c r="D23" s="10" t="s">
        <v>39</v>
      </c>
      <c r="E23" s="11" t="s">
        <v>50</v>
      </c>
      <c r="F23" s="20">
        <f>33+4</f>
        <v>37</v>
      </c>
      <c r="G23" s="25"/>
      <c r="H23" s="21"/>
      <c r="I23" s="22"/>
      <c r="J23" s="22"/>
      <c r="K23" s="23">
        <v>1.51</v>
      </c>
      <c r="L23" s="23">
        <f t="shared" si="1"/>
        <v>55.87</v>
      </c>
      <c r="M23" s="24"/>
      <c r="N23" s="24"/>
    </row>
    <row r="24" spans="1:14" ht="19.5">
      <c r="A24" s="9" t="s">
        <v>31</v>
      </c>
      <c r="B24" s="15">
        <v>800</v>
      </c>
      <c r="C24" s="13">
        <f>Janeiro2016!C24-(F24)</f>
        <v>254</v>
      </c>
      <c r="D24" s="10" t="s">
        <v>44</v>
      </c>
      <c r="E24" s="11" t="s">
        <v>51</v>
      </c>
      <c r="F24" s="19">
        <f>16+138</f>
        <v>154</v>
      </c>
      <c r="G24" s="25">
        <v>3.68</v>
      </c>
      <c r="H24" s="21">
        <f t="shared" si="0"/>
        <v>566.72</v>
      </c>
      <c r="I24" s="22"/>
      <c r="J24" s="22"/>
      <c r="K24" s="23"/>
      <c r="L24" s="23"/>
      <c r="M24" s="24"/>
      <c r="N24" s="24"/>
    </row>
    <row r="25" spans="1:14" ht="19.5">
      <c r="A25" s="9" t="s">
        <v>32</v>
      </c>
      <c r="B25" s="15">
        <v>800</v>
      </c>
      <c r="C25" s="13">
        <f>Janeiro2016!C25-(F25)</f>
        <v>254</v>
      </c>
      <c r="D25" s="10" t="s">
        <v>44</v>
      </c>
      <c r="E25" s="11" t="s">
        <v>52</v>
      </c>
      <c r="F25" s="18">
        <f>16+138</f>
        <v>154</v>
      </c>
      <c r="G25" s="25"/>
      <c r="H25" s="21"/>
      <c r="I25" s="22"/>
      <c r="J25" s="22"/>
      <c r="K25" s="23"/>
      <c r="L25" s="23"/>
      <c r="M25" s="24">
        <v>4.75</v>
      </c>
      <c r="N25" s="24">
        <f t="shared" si="2"/>
        <v>731.5</v>
      </c>
    </row>
    <row r="26" spans="1:14" ht="19.5">
      <c r="A26" s="9" t="s">
        <v>126</v>
      </c>
      <c r="B26" s="15">
        <v>800</v>
      </c>
      <c r="C26" s="13">
        <f>Janeiro2016!C26-(F26)</f>
        <v>254</v>
      </c>
      <c r="D26" s="10" t="s">
        <v>44</v>
      </c>
      <c r="E26" s="11" t="s">
        <v>53</v>
      </c>
      <c r="F26" s="17">
        <f>16+138</f>
        <v>154</v>
      </c>
      <c r="G26" s="21">
        <v>5.88</v>
      </c>
      <c r="H26" s="21">
        <f t="shared" si="0"/>
        <v>905.52</v>
      </c>
      <c r="I26" s="22"/>
      <c r="J26" s="22"/>
      <c r="K26" s="23"/>
      <c r="L26" s="23"/>
      <c r="M26" s="24"/>
      <c r="N26" s="24"/>
    </row>
    <row r="27" spans="1:14" ht="19.5">
      <c r="A27" s="9" t="s">
        <v>127</v>
      </c>
      <c r="B27" s="15">
        <v>400</v>
      </c>
      <c r="C27" s="13">
        <f>Janeiro2016!C27-(F27)</f>
        <v>240</v>
      </c>
      <c r="D27" s="10" t="s">
        <v>54</v>
      </c>
      <c r="E27" s="11" t="s">
        <v>55</v>
      </c>
      <c r="F27" s="18">
        <f>32</f>
        <v>32</v>
      </c>
      <c r="G27" s="25">
        <v>5.45</v>
      </c>
      <c r="H27" s="21">
        <f t="shared" si="0"/>
        <v>174.4</v>
      </c>
      <c r="I27" s="22"/>
      <c r="J27" s="22"/>
      <c r="K27" s="23"/>
      <c r="L27" s="23"/>
      <c r="M27" s="24"/>
      <c r="N27" s="24"/>
    </row>
    <row r="28" spans="1:14" ht="19.5">
      <c r="A28" s="9" t="s">
        <v>128</v>
      </c>
      <c r="B28" s="15">
        <v>500</v>
      </c>
      <c r="C28" s="13">
        <f>Janeiro2016!C28-(F28)</f>
        <v>184</v>
      </c>
      <c r="D28" s="10" t="s">
        <v>39</v>
      </c>
      <c r="E28" s="11" t="s">
        <v>56</v>
      </c>
      <c r="F28" s="18">
        <f>35+51</f>
        <v>86</v>
      </c>
      <c r="G28" s="25"/>
      <c r="H28" s="21"/>
      <c r="I28" s="22">
        <v>17.57</v>
      </c>
      <c r="J28" s="22">
        <f t="shared" si="3"/>
        <v>1511.02</v>
      </c>
      <c r="K28" s="23"/>
      <c r="L28" s="23"/>
      <c r="M28" s="24"/>
      <c r="N28" s="24"/>
    </row>
    <row r="29" spans="1:14" ht="19.5">
      <c r="A29" s="9" t="s">
        <v>129</v>
      </c>
      <c r="B29" s="15">
        <v>500</v>
      </c>
      <c r="C29" s="13">
        <f>Janeiro2016!C29-(F29)</f>
        <v>179</v>
      </c>
      <c r="D29" s="10" t="s">
        <v>39</v>
      </c>
      <c r="E29" s="11" t="s">
        <v>57</v>
      </c>
      <c r="F29" s="18">
        <f>35+51</f>
        <v>86</v>
      </c>
      <c r="G29" s="25">
        <v>11.49</v>
      </c>
      <c r="H29" s="21">
        <f t="shared" si="0"/>
        <v>988.14</v>
      </c>
      <c r="I29" s="22"/>
      <c r="J29" s="22"/>
      <c r="K29" s="23"/>
      <c r="L29" s="23"/>
      <c r="M29" s="24"/>
      <c r="N29" s="24"/>
    </row>
    <row r="30" spans="1:14" ht="19.5">
      <c r="A30" s="9" t="s">
        <v>130</v>
      </c>
      <c r="B30" s="15">
        <v>500</v>
      </c>
      <c r="C30" s="13">
        <f>Janeiro2016!C30-(F30)</f>
        <v>208</v>
      </c>
      <c r="D30" s="10" t="s">
        <v>39</v>
      </c>
      <c r="E30" s="11" t="s">
        <v>58</v>
      </c>
      <c r="F30" s="18">
        <f>72+20</f>
        <v>92</v>
      </c>
      <c r="G30" s="25"/>
      <c r="H30" s="21"/>
      <c r="I30" s="22"/>
      <c r="J30" s="22"/>
      <c r="K30" s="23">
        <v>13.58</v>
      </c>
      <c r="L30" s="23">
        <f t="shared" si="1"/>
        <v>1249.3599999999999</v>
      </c>
      <c r="M30" s="24"/>
      <c r="N30" s="24"/>
    </row>
    <row r="31" spans="1:14" ht="19.5">
      <c r="A31" s="9" t="s">
        <v>131</v>
      </c>
      <c r="B31" s="15">
        <v>500</v>
      </c>
      <c r="C31" s="13">
        <f>Janeiro2016!C31-(F31)</f>
        <v>184</v>
      </c>
      <c r="D31" s="10" t="s">
        <v>39</v>
      </c>
      <c r="E31" s="11" t="s">
        <v>59</v>
      </c>
      <c r="F31" s="19">
        <f>35+51</f>
        <v>86</v>
      </c>
      <c r="G31" s="25"/>
      <c r="H31" s="21"/>
      <c r="I31" s="22">
        <v>16.89</v>
      </c>
      <c r="J31" s="22">
        <f t="shared" si="3"/>
        <v>1452.54</v>
      </c>
      <c r="K31" s="23"/>
      <c r="L31" s="23"/>
      <c r="M31" s="24"/>
      <c r="N31" s="24"/>
    </row>
    <row r="32" spans="1:14" ht="19.5">
      <c r="A32" s="9" t="s">
        <v>132</v>
      </c>
      <c r="B32" s="15">
        <v>500</v>
      </c>
      <c r="C32" s="13">
        <f>Janeiro2016!C32-(F32)</f>
        <v>179</v>
      </c>
      <c r="D32" s="10" t="s">
        <v>39</v>
      </c>
      <c r="E32" s="11" t="s">
        <v>60</v>
      </c>
      <c r="F32" s="18">
        <f>35+51</f>
        <v>86</v>
      </c>
      <c r="G32" s="25">
        <v>9.1199999999999992</v>
      </c>
      <c r="H32" s="21">
        <f t="shared" si="0"/>
        <v>784.31999999999994</v>
      </c>
      <c r="I32" s="22"/>
      <c r="J32" s="22"/>
      <c r="K32" s="23"/>
      <c r="L32" s="23"/>
      <c r="M32" s="24"/>
      <c r="N32" s="24"/>
    </row>
    <row r="33" spans="1:14" ht="19.5">
      <c r="A33" s="9" t="s">
        <v>133</v>
      </c>
      <c r="B33" s="15">
        <v>400</v>
      </c>
      <c r="C33" s="13">
        <f>Janeiro2016!C33-(F33)</f>
        <v>272</v>
      </c>
      <c r="D33" s="10" t="s">
        <v>54</v>
      </c>
      <c r="E33" s="11" t="s">
        <v>61</v>
      </c>
      <c r="F33" s="18">
        <f>32</f>
        <v>32</v>
      </c>
      <c r="G33" s="25"/>
      <c r="H33" s="21"/>
      <c r="I33" s="22"/>
      <c r="J33" s="22"/>
      <c r="K33" s="23">
        <v>13.25</v>
      </c>
      <c r="L33" s="23">
        <f t="shared" si="1"/>
        <v>424</v>
      </c>
      <c r="M33" s="24"/>
      <c r="N33" s="24"/>
    </row>
    <row r="34" spans="1:14" ht="19.5">
      <c r="A34" s="9" t="s">
        <v>134</v>
      </c>
      <c r="B34" s="15">
        <v>250</v>
      </c>
      <c r="C34" s="13">
        <f>Janeiro2016!C34-(F34)</f>
        <v>147</v>
      </c>
      <c r="D34" s="10" t="s">
        <v>39</v>
      </c>
      <c r="E34" s="11" t="s">
        <v>62</v>
      </c>
      <c r="F34" s="18">
        <f>20</f>
        <v>20</v>
      </c>
      <c r="G34" s="25"/>
      <c r="H34" s="21"/>
      <c r="I34" s="22"/>
      <c r="J34" s="22"/>
      <c r="K34" s="23"/>
      <c r="L34" s="23"/>
      <c r="M34" s="24">
        <v>13.69</v>
      </c>
      <c r="N34" s="24">
        <f t="shared" si="2"/>
        <v>273.8</v>
      </c>
    </row>
    <row r="35" spans="1:14" ht="19.5">
      <c r="A35" s="9" t="s">
        <v>135</v>
      </c>
      <c r="B35" s="15">
        <v>150</v>
      </c>
      <c r="C35" s="13">
        <f>Janeiro2016!C35-(F35)</f>
        <v>60</v>
      </c>
      <c r="D35" s="10" t="s">
        <v>63</v>
      </c>
      <c r="E35" s="11" t="s">
        <v>64</v>
      </c>
      <c r="F35" s="18">
        <f>5+21</f>
        <v>26</v>
      </c>
      <c r="G35" s="25">
        <v>1.1399999999999999</v>
      </c>
      <c r="H35" s="21">
        <f t="shared" si="0"/>
        <v>29.639999999999997</v>
      </c>
      <c r="I35" s="22"/>
      <c r="J35" s="22"/>
      <c r="K35" s="23"/>
      <c r="L35" s="23"/>
      <c r="M35" s="24"/>
      <c r="N35" s="24"/>
    </row>
    <row r="36" spans="1:14" ht="19.5">
      <c r="A36" s="9" t="s">
        <v>136</v>
      </c>
      <c r="B36" s="15">
        <v>100</v>
      </c>
      <c r="C36" s="13">
        <f>Janeiro2016!C36-(F36)</f>
        <v>34</v>
      </c>
      <c r="D36" s="10" t="s">
        <v>63</v>
      </c>
      <c r="E36" s="11" t="s">
        <v>65</v>
      </c>
      <c r="F36" s="18">
        <f>18</f>
        <v>18</v>
      </c>
      <c r="G36" s="25">
        <v>4.9000000000000004</v>
      </c>
      <c r="H36" s="21">
        <f t="shared" si="0"/>
        <v>88.2</v>
      </c>
      <c r="I36" s="22"/>
      <c r="J36" s="22"/>
      <c r="K36" s="23"/>
      <c r="L36" s="23"/>
      <c r="M36" s="24"/>
      <c r="N36" s="24"/>
    </row>
    <row r="37" spans="1:14" ht="31.5">
      <c r="A37" s="9" t="s">
        <v>137</v>
      </c>
      <c r="B37" s="15">
        <v>200</v>
      </c>
      <c r="C37" s="13">
        <f>Janeiro2016!C37-(F37)</f>
        <v>88</v>
      </c>
      <c r="D37" s="10" t="s">
        <v>39</v>
      </c>
      <c r="E37" s="11" t="s">
        <v>66</v>
      </c>
      <c r="F37" s="18">
        <f>27+8</f>
        <v>35</v>
      </c>
      <c r="G37" s="25"/>
      <c r="H37" s="21"/>
      <c r="I37" s="22"/>
      <c r="J37" s="22"/>
      <c r="K37" s="23">
        <v>2.98</v>
      </c>
      <c r="L37" s="23">
        <f t="shared" si="1"/>
        <v>104.3</v>
      </c>
      <c r="M37" s="24"/>
      <c r="N37" s="24"/>
    </row>
    <row r="38" spans="1:14" ht="19.5">
      <c r="A38" s="9" t="s">
        <v>138</v>
      </c>
      <c r="B38" s="15">
        <v>200</v>
      </c>
      <c r="C38" s="13">
        <f>Janeiro2016!C38-(F38)</f>
        <v>84</v>
      </c>
      <c r="D38" s="10" t="s">
        <v>63</v>
      </c>
      <c r="E38" s="11" t="s">
        <v>67</v>
      </c>
      <c r="F38" s="20">
        <f>10+24</f>
        <v>34</v>
      </c>
      <c r="G38" s="25">
        <v>0.51</v>
      </c>
      <c r="H38" s="21">
        <f t="shared" si="0"/>
        <v>17.34</v>
      </c>
      <c r="I38" s="22"/>
      <c r="J38" s="22"/>
      <c r="K38" s="23"/>
      <c r="L38" s="23"/>
      <c r="M38" s="24"/>
      <c r="N38" s="24"/>
    </row>
    <row r="39" spans="1:14" ht="19.5">
      <c r="A39" s="9" t="s">
        <v>139</v>
      </c>
      <c r="B39" s="15">
        <v>100</v>
      </c>
      <c r="C39" s="13">
        <f>Janeiro2016!C39-(F39)</f>
        <v>84</v>
      </c>
      <c r="D39" s="10" t="s">
        <v>39</v>
      </c>
      <c r="E39" s="11" t="s">
        <v>68</v>
      </c>
      <c r="F39" s="20"/>
      <c r="G39" s="25"/>
      <c r="H39" s="21"/>
      <c r="I39" s="22"/>
      <c r="J39" s="22"/>
      <c r="K39" s="23">
        <v>7.43</v>
      </c>
      <c r="L39" s="23">
        <f t="shared" si="1"/>
        <v>0</v>
      </c>
      <c r="M39" s="24"/>
      <c r="N39" s="24"/>
    </row>
    <row r="40" spans="1:14" ht="31.5">
      <c r="A40" s="9" t="s">
        <v>140</v>
      </c>
      <c r="B40" s="15">
        <v>300</v>
      </c>
      <c r="C40" s="13">
        <f>Janeiro2016!C40-(F40)</f>
        <v>126</v>
      </c>
      <c r="D40" s="10" t="s">
        <v>63</v>
      </c>
      <c r="E40" s="11" t="s">
        <v>69</v>
      </c>
      <c r="F40" s="20">
        <f>45+10</f>
        <v>55</v>
      </c>
      <c r="G40" s="25"/>
      <c r="H40" s="21"/>
      <c r="I40" s="22"/>
      <c r="J40" s="22"/>
      <c r="K40" s="23">
        <v>2.87</v>
      </c>
      <c r="L40" s="23">
        <f t="shared" si="1"/>
        <v>157.85</v>
      </c>
      <c r="M40" s="24"/>
      <c r="N40" s="24"/>
    </row>
    <row r="41" spans="1:14" ht="19.5">
      <c r="A41" s="9" t="s">
        <v>141</v>
      </c>
      <c r="B41" s="15">
        <v>30</v>
      </c>
      <c r="C41" s="13">
        <f>Janeiro2016!C41-(F41)</f>
        <v>20</v>
      </c>
      <c r="D41" s="10" t="s">
        <v>39</v>
      </c>
      <c r="E41" s="11" t="s">
        <v>70</v>
      </c>
      <c r="F41" s="19">
        <f>2</f>
        <v>2</v>
      </c>
      <c r="G41" s="25">
        <v>7.38</v>
      </c>
      <c r="H41" s="21">
        <f t="shared" si="0"/>
        <v>14.76</v>
      </c>
      <c r="I41" s="22"/>
      <c r="J41" s="22"/>
      <c r="K41" s="23"/>
      <c r="L41" s="23"/>
      <c r="M41" s="24"/>
      <c r="N41" s="24"/>
    </row>
    <row r="42" spans="1:14" ht="19.5">
      <c r="A42" s="9" t="s">
        <v>142</v>
      </c>
      <c r="B42" s="15">
        <v>100</v>
      </c>
      <c r="C42" s="13">
        <f>Janeiro2016!C42-(F42)</f>
        <v>60</v>
      </c>
      <c r="D42" s="10" t="s">
        <v>63</v>
      </c>
      <c r="E42" s="11" t="s">
        <v>71</v>
      </c>
      <c r="F42" s="18">
        <f>12</f>
        <v>12</v>
      </c>
      <c r="G42" s="25"/>
      <c r="H42" s="21"/>
      <c r="I42" s="22"/>
      <c r="J42" s="22"/>
      <c r="K42" s="23">
        <v>3.89</v>
      </c>
      <c r="L42" s="23">
        <f t="shared" si="1"/>
        <v>46.68</v>
      </c>
      <c r="M42" s="24"/>
      <c r="N42" s="24"/>
    </row>
    <row r="43" spans="1:14" ht="19.5">
      <c r="A43" s="9" t="s">
        <v>143</v>
      </c>
      <c r="B43" s="15">
        <v>20</v>
      </c>
      <c r="C43" s="13">
        <f>Janeiro2016!C43-(F43)</f>
        <v>16</v>
      </c>
      <c r="D43" s="10" t="s">
        <v>39</v>
      </c>
      <c r="E43" s="11" t="s">
        <v>72</v>
      </c>
      <c r="F43" s="17">
        <f>1</f>
        <v>1</v>
      </c>
      <c r="G43" s="21"/>
      <c r="H43" s="21"/>
      <c r="I43" s="22"/>
      <c r="J43" s="22"/>
      <c r="K43" s="23">
        <v>8.1300000000000008</v>
      </c>
      <c r="L43" s="23">
        <f t="shared" si="1"/>
        <v>8.1300000000000008</v>
      </c>
      <c r="M43" s="24"/>
      <c r="N43" s="24"/>
    </row>
    <row r="44" spans="1:14" ht="19.5">
      <c r="A44" s="9" t="s">
        <v>144</v>
      </c>
      <c r="B44" s="15">
        <v>400</v>
      </c>
      <c r="C44" s="13">
        <f>Janeiro2016!C44-(F44)</f>
        <v>140</v>
      </c>
      <c r="D44" s="10" t="s">
        <v>63</v>
      </c>
      <c r="E44" s="11" t="s">
        <v>73</v>
      </c>
      <c r="F44" s="18">
        <f>12+60</f>
        <v>72</v>
      </c>
      <c r="G44" s="25">
        <v>1.58</v>
      </c>
      <c r="H44" s="21">
        <f t="shared" si="0"/>
        <v>113.76</v>
      </c>
      <c r="I44" s="22"/>
      <c r="J44" s="22"/>
      <c r="K44" s="23"/>
      <c r="L44" s="23"/>
      <c r="M44" s="24"/>
      <c r="N44" s="24"/>
    </row>
    <row r="45" spans="1:14" ht="19.5">
      <c r="A45" s="9" t="s">
        <v>145</v>
      </c>
      <c r="B45" s="15">
        <v>400</v>
      </c>
      <c r="C45" s="13">
        <f>Janeiro2016!C45-(F45)</f>
        <v>140</v>
      </c>
      <c r="D45" s="10" t="s">
        <v>63</v>
      </c>
      <c r="E45" s="11" t="s">
        <v>74</v>
      </c>
      <c r="F45" s="18">
        <f>12+60</f>
        <v>72</v>
      </c>
      <c r="G45" s="25">
        <v>2.54</v>
      </c>
      <c r="H45" s="21">
        <f t="shared" si="0"/>
        <v>182.88</v>
      </c>
      <c r="I45" s="22"/>
      <c r="J45" s="22"/>
      <c r="K45" s="23"/>
      <c r="L45" s="23"/>
      <c r="M45" s="24"/>
      <c r="N45" s="24"/>
    </row>
    <row r="46" spans="1:14" ht="19.5">
      <c r="A46" s="9" t="s">
        <v>146</v>
      </c>
      <c r="B46" s="15">
        <v>120</v>
      </c>
      <c r="C46" s="13">
        <f>Janeiro2016!C46-(F46)</f>
        <v>41</v>
      </c>
      <c r="D46" s="10" t="s">
        <v>39</v>
      </c>
      <c r="E46" s="11" t="s">
        <v>75</v>
      </c>
      <c r="F46" s="18">
        <f>5+15</f>
        <v>20</v>
      </c>
      <c r="G46" s="25">
        <v>4.6399999999999997</v>
      </c>
      <c r="H46" s="21">
        <f t="shared" si="0"/>
        <v>92.8</v>
      </c>
      <c r="I46" s="22"/>
      <c r="J46" s="22"/>
      <c r="K46" s="23"/>
      <c r="L46" s="23"/>
      <c r="M46" s="24"/>
      <c r="N46" s="24"/>
    </row>
    <row r="47" spans="1:14" ht="31.5">
      <c r="A47" s="9" t="s">
        <v>147</v>
      </c>
      <c r="B47" s="15">
        <v>1200</v>
      </c>
      <c r="C47" s="13">
        <f>Janeiro2016!C47-(F47)</f>
        <v>486</v>
      </c>
      <c r="D47" s="10" t="s">
        <v>63</v>
      </c>
      <c r="E47" s="11" t="s">
        <v>76</v>
      </c>
      <c r="F47" s="18">
        <f>174+50</f>
        <v>224</v>
      </c>
      <c r="G47" s="25"/>
      <c r="H47" s="21"/>
      <c r="I47" s="22"/>
      <c r="J47" s="22"/>
      <c r="K47" s="23">
        <v>3.65</v>
      </c>
      <c r="L47" s="23">
        <f t="shared" si="1"/>
        <v>817.6</v>
      </c>
      <c r="M47" s="24"/>
      <c r="N47" s="24"/>
    </row>
    <row r="48" spans="1:14" ht="19.5">
      <c r="A48" s="9" t="s">
        <v>148</v>
      </c>
      <c r="B48" s="15">
        <v>300</v>
      </c>
      <c r="C48" s="13">
        <f>Janeiro2016!C48-(F48)</f>
        <v>113</v>
      </c>
      <c r="D48" s="10" t="s">
        <v>39</v>
      </c>
      <c r="E48" s="11" t="s">
        <v>77</v>
      </c>
      <c r="F48" s="19">
        <f>20+30</f>
        <v>50</v>
      </c>
      <c r="G48" s="25"/>
      <c r="H48" s="21"/>
      <c r="I48" s="22"/>
      <c r="J48" s="22"/>
      <c r="K48" s="23"/>
      <c r="L48" s="23"/>
      <c r="M48" s="24">
        <v>6.49</v>
      </c>
      <c r="N48" s="24">
        <f t="shared" si="2"/>
        <v>324.5</v>
      </c>
    </row>
    <row r="49" spans="1:14" ht="19.5">
      <c r="A49" s="9" t="s">
        <v>149</v>
      </c>
      <c r="B49" s="15">
        <v>500</v>
      </c>
      <c r="C49" s="13">
        <f>Janeiro2016!C49-(F49)</f>
        <v>218</v>
      </c>
      <c r="D49" s="10" t="s">
        <v>63</v>
      </c>
      <c r="E49" s="11" t="s">
        <v>78</v>
      </c>
      <c r="F49" s="18">
        <f>20+72</f>
        <v>92</v>
      </c>
      <c r="G49" s="25"/>
      <c r="H49" s="21"/>
      <c r="I49" s="22">
        <v>0.99</v>
      </c>
      <c r="J49" s="22">
        <f t="shared" si="3"/>
        <v>91.08</v>
      </c>
      <c r="K49" s="23"/>
      <c r="L49" s="23"/>
      <c r="M49" s="24"/>
      <c r="N49" s="24"/>
    </row>
    <row r="50" spans="1:14" ht="47.25">
      <c r="A50" s="9" t="s">
        <v>150</v>
      </c>
      <c r="B50" s="15">
        <v>500</v>
      </c>
      <c r="C50" s="13">
        <f>Janeiro2016!C50-(F50)</f>
        <v>194</v>
      </c>
      <c r="D50" s="10" t="s">
        <v>39</v>
      </c>
      <c r="E50" s="11" t="s">
        <v>79</v>
      </c>
      <c r="F50" s="18">
        <f>20+72</f>
        <v>92</v>
      </c>
      <c r="G50" s="25"/>
      <c r="H50" s="21"/>
      <c r="I50" s="22">
        <v>1.57</v>
      </c>
      <c r="J50" s="22">
        <f t="shared" si="3"/>
        <v>144.44</v>
      </c>
      <c r="K50" s="23"/>
      <c r="L50" s="23"/>
      <c r="M50" s="24"/>
      <c r="N50" s="24"/>
    </row>
    <row r="51" spans="1:14" ht="63">
      <c r="A51" s="9" t="s">
        <v>151</v>
      </c>
      <c r="B51" s="15">
        <v>36</v>
      </c>
      <c r="C51" s="13">
        <f>Janeiro2016!C51-(F51)</f>
        <v>18</v>
      </c>
      <c r="D51" s="10" t="s">
        <v>63</v>
      </c>
      <c r="E51" s="11" t="s">
        <v>80</v>
      </c>
      <c r="F51" s="18">
        <f>2+3</f>
        <v>5</v>
      </c>
      <c r="G51" s="25"/>
      <c r="H51" s="21"/>
      <c r="I51" s="22">
        <v>2.0499999999999998</v>
      </c>
      <c r="J51" s="22">
        <f t="shared" si="3"/>
        <v>10.25</v>
      </c>
      <c r="K51" s="23"/>
      <c r="L51" s="23"/>
      <c r="M51" s="24"/>
      <c r="N51" s="24"/>
    </row>
    <row r="52" spans="1:14" ht="19.5">
      <c r="A52" s="9" t="s">
        <v>152</v>
      </c>
      <c r="B52" s="15">
        <v>30</v>
      </c>
      <c r="C52" s="13">
        <f>Janeiro2016!C52-(F52)</f>
        <v>22</v>
      </c>
      <c r="D52" s="10" t="s">
        <v>15</v>
      </c>
      <c r="E52" s="11" t="s">
        <v>81</v>
      </c>
      <c r="F52" s="18">
        <f>2</f>
        <v>2</v>
      </c>
      <c r="G52" s="25"/>
      <c r="H52" s="21"/>
      <c r="I52" s="22"/>
      <c r="J52" s="22"/>
      <c r="K52" s="23">
        <v>15.35</v>
      </c>
      <c r="L52" s="23">
        <f t="shared" si="1"/>
        <v>30.7</v>
      </c>
      <c r="M52" s="24"/>
      <c r="N52" s="24"/>
    </row>
    <row r="53" spans="1:14" ht="63">
      <c r="A53" s="9" t="s">
        <v>153</v>
      </c>
      <c r="B53" s="15">
        <v>60</v>
      </c>
      <c r="C53" s="13">
        <f>Janeiro2016!C53-(F53)</f>
        <v>0</v>
      </c>
      <c r="D53" s="10" t="s">
        <v>82</v>
      </c>
      <c r="E53" s="11" t="s">
        <v>83</v>
      </c>
      <c r="F53" s="18"/>
      <c r="G53" s="25"/>
      <c r="H53" s="21"/>
      <c r="I53" s="22"/>
      <c r="J53" s="22"/>
      <c r="K53" s="23">
        <v>17.47</v>
      </c>
      <c r="L53" s="23">
        <f t="shared" si="1"/>
        <v>0</v>
      </c>
      <c r="M53" s="24"/>
      <c r="N53" s="24"/>
    </row>
    <row r="54" spans="1:14" ht="63">
      <c r="A54" s="9" t="s">
        <v>154</v>
      </c>
      <c r="B54" s="15">
        <v>60</v>
      </c>
      <c r="C54" s="13">
        <f>Janeiro2016!C54-(F54)</f>
        <v>0</v>
      </c>
      <c r="D54" s="10" t="s">
        <v>82</v>
      </c>
      <c r="E54" s="11" t="s">
        <v>84</v>
      </c>
      <c r="F54" s="18"/>
      <c r="G54" s="25"/>
      <c r="H54" s="21"/>
      <c r="I54" s="22"/>
      <c r="J54" s="22"/>
      <c r="K54" s="23">
        <v>17.47</v>
      </c>
      <c r="L54" s="23">
        <f t="shared" si="1"/>
        <v>0</v>
      </c>
      <c r="M54" s="24"/>
      <c r="N54" s="24"/>
    </row>
    <row r="55" spans="1:14" ht="31.5">
      <c r="A55" s="9" t="s">
        <v>155</v>
      </c>
      <c r="B55" s="15">
        <v>300</v>
      </c>
      <c r="C55" s="13">
        <f>Janeiro2016!C55-(F55)</f>
        <v>200</v>
      </c>
      <c r="D55" s="10" t="s">
        <v>54</v>
      </c>
      <c r="E55" s="11" t="s">
        <v>85</v>
      </c>
      <c r="F55" s="20">
        <f>25</f>
        <v>25</v>
      </c>
      <c r="G55" s="25"/>
      <c r="H55" s="21"/>
      <c r="I55" s="22"/>
      <c r="J55" s="22"/>
      <c r="K55" s="23">
        <v>13.23</v>
      </c>
      <c r="L55" s="23">
        <f t="shared" si="1"/>
        <v>330.75</v>
      </c>
      <c r="M55" s="24"/>
      <c r="N55" s="24"/>
    </row>
    <row r="56" spans="1:14" ht="47.25">
      <c r="A56" s="9" t="s">
        <v>156</v>
      </c>
      <c r="B56" s="15">
        <v>30</v>
      </c>
      <c r="C56" s="13">
        <f>Janeiro2016!C56-(F56)</f>
        <v>20</v>
      </c>
      <c r="D56" s="10" t="s">
        <v>39</v>
      </c>
      <c r="E56" s="11" t="s">
        <v>86</v>
      </c>
      <c r="F56" s="20">
        <f>2</f>
        <v>2</v>
      </c>
      <c r="G56" s="25"/>
      <c r="H56" s="21"/>
      <c r="I56" s="22">
        <v>4.3600000000000003</v>
      </c>
      <c r="J56" s="22">
        <f t="shared" si="3"/>
        <v>8.7200000000000006</v>
      </c>
      <c r="K56" s="23"/>
      <c r="L56" s="23"/>
      <c r="M56" s="24"/>
      <c r="N56" s="24"/>
    </row>
    <row r="57" spans="1:14" ht="31.5">
      <c r="A57" s="9" t="s">
        <v>157</v>
      </c>
      <c r="B57" s="15">
        <v>30</v>
      </c>
      <c r="C57" s="13">
        <f>Janeiro2016!C57-(F57)</f>
        <v>22</v>
      </c>
      <c r="D57" s="10" t="s">
        <v>39</v>
      </c>
      <c r="E57" s="11" t="s">
        <v>87</v>
      </c>
      <c r="F57" s="20">
        <f>2</f>
        <v>2</v>
      </c>
      <c r="G57" s="25"/>
      <c r="H57" s="21"/>
      <c r="I57" s="22"/>
      <c r="J57" s="22"/>
      <c r="K57" s="23">
        <v>8.9</v>
      </c>
      <c r="L57" s="23">
        <f t="shared" si="1"/>
        <v>17.8</v>
      </c>
      <c r="M57" s="24"/>
      <c r="N57" s="24"/>
    </row>
    <row r="58" spans="1:14" ht="19.5">
      <c r="A58" s="9" t="s">
        <v>158</v>
      </c>
      <c r="B58" s="15">
        <v>20</v>
      </c>
      <c r="C58" s="13">
        <f>Janeiro2016!C58-(F58)</f>
        <v>15</v>
      </c>
      <c r="D58" s="10" t="s">
        <v>15</v>
      </c>
      <c r="E58" s="11" t="s">
        <v>88</v>
      </c>
      <c r="F58" s="19">
        <f>1</f>
        <v>1</v>
      </c>
      <c r="G58" s="25"/>
      <c r="H58" s="21"/>
      <c r="I58" s="22">
        <v>26.99</v>
      </c>
      <c r="J58" s="22">
        <f t="shared" si="3"/>
        <v>26.99</v>
      </c>
      <c r="K58" s="23"/>
      <c r="L58" s="23"/>
      <c r="M58" s="24"/>
      <c r="N58" s="24"/>
    </row>
    <row r="59" spans="1:14" ht="47.25">
      <c r="A59" s="9" t="s">
        <v>159</v>
      </c>
      <c r="B59" s="15">
        <v>15</v>
      </c>
      <c r="C59" s="13">
        <f>Janeiro2016!C59-(F59)</f>
        <v>11</v>
      </c>
      <c r="D59" s="10" t="s">
        <v>89</v>
      </c>
      <c r="E59" s="11" t="s">
        <v>90</v>
      </c>
      <c r="F59" s="18">
        <f>1</f>
        <v>1</v>
      </c>
      <c r="G59" s="25"/>
      <c r="H59" s="21"/>
      <c r="I59" s="22"/>
      <c r="J59" s="22"/>
      <c r="K59" s="23">
        <v>129.49</v>
      </c>
      <c r="L59" s="23">
        <f t="shared" si="1"/>
        <v>129.49</v>
      </c>
      <c r="M59" s="24"/>
      <c r="N59" s="24"/>
    </row>
    <row r="60" spans="1:14" ht="31.5">
      <c r="A60" s="9" t="s">
        <v>160</v>
      </c>
      <c r="B60" s="15">
        <v>80</v>
      </c>
      <c r="C60" s="13">
        <f>Janeiro2016!C60-(F60)</f>
        <v>41</v>
      </c>
      <c r="D60" s="10" t="s">
        <v>63</v>
      </c>
      <c r="E60" s="12" t="s">
        <v>91</v>
      </c>
      <c r="F60" s="17">
        <f>11</f>
        <v>11</v>
      </c>
      <c r="G60" s="21"/>
      <c r="H60" s="21"/>
      <c r="I60" s="22"/>
      <c r="J60" s="22"/>
      <c r="K60" s="23">
        <v>2.97</v>
      </c>
      <c r="L60" s="23">
        <f t="shared" si="1"/>
        <v>32.67</v>
      </c>
      <c r="M60" s="24"/>
      <c r="N60" s="24"/>
    </row>
    <row r="61" spans="1:14" ht="31.5">
      <c r="A61" s="9" t="s">
        <v>161</v>
      </c>
      <c r="B61" s="15">
        <v>500</v>
      </c>
      <c r="C61" s="13">
        <f>Janeiro2016!C61-(F61)</f>
        <v>256</v>
      </c>
      <c r="D61" s="10" t="s">
        <v>63</v>
      </c>
      <c r="E61" s="11" t="s">
        <v>92</v>
      </c>
      <c r="F61" s="18">
        <f>68</f>
        <v>68</v>
      </c>
      <c r="G61" s="25"/>
      <c r="H61" s="21"/>
      <c r="I61" s="22"/>
      <c r="J61" s="22"/>
      <c r="K61" s="23">
        <v>1.33</v>
      </c>
      <c r="L61" s="23">
        <f t="shared" si="1"/>
        <v>90.44</v>
      </c>
      <c r="M61" s="24"/>
      <c r="N61" s="24"/>
    </row>
    <row r="62" spans="1:14" ht="31.5">
      <c r="A62" s="9" t="s">
        <v>162</v>
      </c>
      <c r="B62" s="15">
        <v>500</v>
      </c>
      <c r="C62" s="13">
        <f>Janeiro2016!C62-(F62)</f>
        <v>256</v>
      </c>
      <c r="D62" s="10" t="s">
        <v>63</v>
      </c>
      <c r="E62" s="11" t="s">
        <v>93</v>
      </c>
      <c r="F62" s="18">
        <f>68</f>
        <v>68</v>
      </c>
      <c r="G62" s="25"/>
      <c r="H62" s="21"/>
      <c r="I62" s="22"/>
      <c r="J62" s="22"/>
      <c r="K62" s="23">
        <v>1.78</v>
      </c>
      <c r="L62" s="23">
        <f t="shared" si="1"/>
        <v>121.04</v>
      </c>
      <c r="M62" s="24"/>
      <c r="N62" s="24"/>
    </row>
    <row r="63" spans="1:14" ht="31.5">
      <c r="A63" s="9" t="s">
        <v>163</v>
      </c>
      <c r="B63" s="15">
        <v>50</v>
      </c>
      <c r="C63" s="13">
        <f>Janeiro2016!C63-(F63)</f>
        <v>28</v>
      </c>
      <c r="D63" s="10" t="s">
        <v>63</v>
      </c>
      <c r="E63" s="12" t="s">
        <v>94</v>
      </c>
      <c r="F63" s="18">
        <f>6</f>
        <v>6</v>
      </c>
      <c r="G63" s="25"/>
      <c r="H63" s="21"/>
      <c r="I63" s="22"/>
      <c r="J63" s="22"/>
      <c r="K63" s="23">
        <v>3.88</v>
      </c>
      <c r="L63" s="23">
        <f t="shared" si="1"/>
        <v>23.28</v>
      </c>
      <c r="M63" s="24"/>
      <c r="N63" s="24"/>
    </row>
    <row r="64" spans="1:14" ht="31.5">
      <c r="A64" s="9" t="s">
        <v>164</v>
      </c>
      <c r="B64" s="15">
        <v>600</v>
      </c>
      <c r="C64" s="13">
        <f>Janeiro2016!C64-(F64)</f>
        <v>304</v>
      </c>
      <c r="D64" s="10" t="s">
        <v>63</v>
      </c>
      <c r="E64" s="11" t="s">
        <v>95</v>
      </c>
      <c r="F64" s="18">
        <f>82</f>
        <v>82</v>
      </c>
      <c r="G64" s="25"/>
      <c r="H64" s="21"/>
      <c r="I64" s="22"/>
      <c r="J64" s="22"/>
      <c r="K64" s="23">
        <v>0.87</v>
      </c>
      <c r="L64" s="23">
        <f t="shared" si="1"/>
        <v>71.34</v>
      </c>
      <c r="M64" s="24"/>
      <c r="N64" s="24"/>
    </row>
    <row r="65" spans="1:14" ht="31.5">
      <c r="A65" s="9" t="s">
        <v>165</v>
      </c>
      <c r="B65" s="15">
        <v>60</v>
      </c>
      <c r="C65" s="13">
        <f>Janeiro2016!C65-(F65)</f>
        <v>31</v>
      </c>
      <c r="D65" s="10" t="s">
        <v>63</v>
      </c>
      <c r="E65" s="11" t="s">
        <v>96</v>
      </c>
      <c r="F65" s="19">
        <f>8</f>
        <v>8</v>
      </c>
      <c r="G65" s="25"/>
      <c r="H65" s="21"/>
      <c r="I65" s="22"/>
      <c r="J65" s="22"/>
      <c r="K65" s="23">
        <v>3.09</v>
      </c>
      <c r="L65" s="23">
        <f t="shared" si="1"/>
        <v>24.72</v>
      </c>
      <c r="M65" s="24"/>
      <c r="N65" s="24"/>
    </row>
    <row r="66" spans="1:14" ht="31.5">
      <c r="A66" s="9" t="s">
        <v>166</v>
      </c>
      <c r="B66" s="15">
        <v>100</v>
      </c>
      <c r="C66" s="13">
        <f>Janeiro2016!C66-(F66)</f>
        <v>53</v>
      </c>
      <c r="D66" s="10" t="s">
        <v>63</v>
      </c>
      <c r="E66" s="11" t="s">
        <v>97</v>
      </c>
      <c r="F66" s="18">
        <f>13</f>
        <v>13</v>
      </c>
      <c r="G66" s="25"/>
      <c r="H66" s="21"/>
      <c r="I66" s="22"/>
      <c r="J66" s="22"/>
      <c r="K66" s="23">
        <v>3.14</v>
      </c>
      <c r="L66" s="23">
        <f t="shared" si="1"/>
        <v>40.82</v>
      </c>
      <c r="M66" s="24"/>
      <c r="N66" s="24"/>
    </row>
    <row r="67" spans="1:14" ht="31.5">
      <c r="A67" s="9" t="s">
        <v>167</v>
      </c>
      <c r="B67" s="15">
        <v>100</v>
      </c>
      <c r="C67" s="13">
        <f>Janeiro2016!C67-(F67)</f>
        <v>53</v>
      </c>
      <c r="D67" s="10" t="s">
        <v>63</v>
      </c>
      <c r="E67" s="11" t="s">
        <v>98</v>
      </c>
      <c r="F67" s="18">
        <f>13</f>
        <v>13</v>
      </c>
      <c r="G67" s="25"/>
      <c r="H67" s="21"/>
      <c r="I67" s="22"/>
      <c r="J67" s="22"/>
      <c r="K67" s="23">
        <v>3.53</v>
      </c>
      <c r="L67" s="23">
        <f t="shared" si="1"/>
        <v>45.89</v>
      </c>
      <c r="M67" s="24"/>
      <c r="N67" s="24"/>
    </row>
    <row r="68" spans="1:14" ht="31.5">
      <c r="A68" s="9" t="s">
        <v>168</v>
      </c>
      <c r="B68" s="15">
        <v>100</v>
      </c>
      <c r="C68" s="13">
        <f>Janeiro2016!C68-(F68)</f>
        <v>53</v>
      </c>
      <c r="D68" s="10" t="s">
        <v>63</v>
      </c>
      <c r="E68" s="11" t="s">
        <v>99</v>
      </c>
      <c r="F68" s="18">
        <f>13</f>
        <v>13</v>
      </c>
      <c r="G68" s="25"/>
      <c r="H68" s="21"/>
      <c r="I68" s="22"/>
      <c r="J68" s="22"/>
      <c r="K68" s="23">
        <v>3.29</v>
      </c>
      <c r="L68" s="23">
        <f t="shared" si="1"/>
        <v>42.77</v>
      </c>
      <c r="M68" s="24"/>
      <c r="N68" s="24"/>
    </row>
    <row r="69" spans="1:14" ht="31.5">
      <c r="A69" s="9" t="s">
        <v>169</v>
      </c>
      <c r="B69" s="15">
        <v>100</v>
      </c>
      <c r="C69" s="13">
        <f>Janeiro2016!C69-(F69)</f>
        <v>53</v>
      </c>
      <c r="D69" s="10" t="s">
        <v>63</v>
      </c>
      <c r="E69" s="11" t="s">
        <v>100</v>
      </c>
      <c r="F69" s="18">
        <f>13</f>
        <v>13</v>
      </c>
      <c r="G69" s="25"/>
      <c r="H69" s="21"/>
      <c r="I69" s="22"/>
      <c r="J69" s="22"/>
      <c r="K69" s="23">
        <v>3.29</v>
      </c>
      <c r="L69" s="23">
        <f t="shared" si="1"/>
        <v>42.77</v>
      </c>
      <c r="M69" s="24"/>
      <c r="N69" s="24"/>
    </row>
    <row r="70" spans="1:14" ht="19.5">
      <c r="A70" s="9" t="s">
        <v>170</v>
      </c>
      <c r="B70" s="15">
        <v>120</v>
      </c>
      <c r="C70" s="13">
        <f>Janeiro2016!C70-(F70)</f>
        <v>52</v>
      </c>
      <c r="D70" s="10" t="s">
        <v>44</v>
      </c>
      <c r="E70" s="11" t="s">
        <v>101</v>
      </c>
      <c r="F70" s="18">
        <f>16</f>
        <v>16</v>
      </c>
      <c r="G70" s="25"/>
      <c r="H70" s="21"/>
      <c r="I70" s="22"/>
      <c r="J70" s="22"/>
      <c r="K70" s="23"/>
      <c r="L70" s="23"/>
      <c r="M70" s="24">
        <v>3.99</v>
      </c>
      <c r="N70" s="24">
        <f t="shared" si="2"/>
        <v>63.84</v>
      </c>
    </row>
    <row r="71" spans="1:14" ht="47.25">
      <c r="A71" s="9" t="s">
        <v>171</v>
      </c>
      <c r="B71" s="15">
        <v>10</v>
      </c>
      <c r="C71" s="13">
        <f>Janeiro2016!C71-(F71)</f>
        <v>6</v>
      </c>
      <c r="D71" s="10" t="s">
        <v>102</v>
      </c>
      <c r="E71" s="11" t="s">
        <v>103</v>
      </c>
      <c r="F71" s="18">
        <f>1</f>
        <v>1</v>
      </c>
      <c r="G71" s="25"/>
      <c r="H71" s="21"/>
      <c r="I71" s="22"/>
      <c r="J71" s="22"/>
      <c r="K71" s="23">
        <v>13.4</v>
      </c>
      <c r="L71" s="23">
        <f t="shared" si="1"/>
        <v>13.4</v>
      </c>
      <c r="M71" s="24"/>
      <c r="N71" s="24"/>
    </row>
    <row r="72" spans="1:14" ht="19.5">
      <c r="A72" s="9" t="s">
        <v>172</v>
      </c>
      <c r="B72" s="15">
        <v>30</v>
      </c>
      <c r="C72" s="13">
        <f>Janeiro2016!C72-(F72)</f>
        <v>16</v>
      </c>
      <c r="D72" s="10" t="s">
        <v>102</v>
      </c>
      <c r="E72" s="11" t="s">
        <v>104</v>
      </c>
      <c r="F72" s="20">
        <f>4</f>
        <v>4</v>
      </c>
      <c r="G72" s="25"/>
      <c r="H72" s="21"/>
      <c r="I72" s="22"/>
      <c r="J72" s="22"/>
      <c r="K72" s="23">
        <v>5.7</v>
      </c>
      <c r="L72" s="23">
        <f t="shared" si="1"/>
        <v>22.8</v>
      </c>
      <c r="M72" s="24"/>
      <c r="N72" s="24"/>
    </row>
    <row r="73" spans="1:14" ht="19.5">
      <c r="A73" s="9" t="s">
        <v>173</v>
      </c>
      <c r="B73" s="15">
        <v>200</v>
      </c>
      <c r="C73" s="13">
        <f>Janeiro2016!C73-(F73)</f>
        <v>87</v>
      </c>
      <c r="D73" s="10" t="s">
        <v>63</v>
      </c>
      <c r="E73" s="11" t="s">
        <v>105</v>
      </c>
      <c r="F73" s="20">
        <f>27</f>
        <v>27</v>
      </c>
      <c r="G73" s="25"/>
      <c r="H73" s="21"/>
      <c r="I73" s="22"/>
      <c r="J73" s="22"/>
      <c r="K73" s="23"/>
      <c r="L73" s="23"/>
      <c r="M73" s="24">
        <v>8.89</v>
      </c>
      <c r="N73" s="24">
        <f t="shared" si="2"/>
        <v>240.03000000000003</v>
      </c>
    </row>
    <row r="74" spans="1:14" ht="47.25">
      <c r="A74" s="9" t="s">
        <v>174</v>
      </c>
      <c r="B74" s="15">
        <v>20</v>
      </c>
      <c r="C74" s="13">
        <f>Janeiro2016!C74-(F74)</f>
        <v>20</v>
      </c>
      <c r="D74" s="10" t="s">
        <v>44</v>
      </c>
      <c r="E74" s="11" t="s">
        <v>106</v>
      </c>
      <c r="F74" s="20"/>
      <c r="G74" s="25"/>
      <c r="H74" s="21"/>
      <c r="I74" s="22">
        <v>7.58</v>
      </c>
      <c r="J74" s="22">
        <f t="shared" ref="J74" si="4">F74*I74</f>
        <v>0</v>
      </c>
      <c r="K74" s="23"/>
      <c r="L74" s="23"/>
      <c r="M74" s="24"/>
      <c r="N74" s="24"/>
    </row>
    <row r="75" spans="1:14" ht="63">
      <c r="A75" s="9" t="s">
        <v>175</v>
      </c>
      <c r="B75" s="15">
        <v>30</v>
      </c>
      <c r="C75" s="13">
        <f>Janeiro2016!C75-(F75)</f>
        <v>24</v>
      </c>
      <c r="D75" s="10" t="s">
        <v>44</v>
      </c>
      <c r="E75" s="11" t="s">
        <v>107</v>
      </c>
      <c r="F75" s="19"/>
      <c r="G75" s="25"/>
      <c r="H75" s="21"/>
      <c r="I75" s="22"/>
      <c r="J75" s="22"/>
      <c r="K75" s="23">
        <v>11.4</v>
      </c>
      <c r="L75" s="23">
        <f t="shared" ref="L75:L91" si="5">F75*K75</f>
        <v>0</v>
      </c>
      <c r="M75" s="24"/>
      <c r="N75" s="24"/>
    </row>
    <row r="76" spans="1:14" ht="19.5">
      <c r="A76" s="9" t="s">
        <v>176</v>
      </c>
      <c r="B76" s="15">
        <v>40</v>
      </c>
      <c r="C76" s="13">
        <f>Janeiro2016!C76-(F76)</f>
        <v>22</v>
      </c>
      <c r="D76" s="10" t="s">
        <v>44</v>
      </c>
      <c r="E76" s="11" t="s">
        <v>108</v>
      </c>
      <c r="F76" s="18">
        <f>5</f>
        <v>5</v>
      </c>
      <c r="G76" s="25"/>
      <c r="H76" s="21"/>
      <c r="I76" s="22"/>
      <c r="J76" s="22"/>
      <c r="K76" s="23">
        <v>2.1800000000000002</v>
      </c>
      <c r="L76" s="23">
        <f t="shared" si="5"/>
        <v>10.9</v>
      </c>
      <c r="M76" s="24"/>
      <c r="N76" s="24"/>
    </row>
    <row r="77" spans="1:14" ht="19.5">
      <c r="A77" s="9" t="s">
        <v>177</v>
      </c>
      <c r="B77" s="15">
        <v>20</v>
      </c>
      <c r="C77" s="13">
        <f>Janeiro2016!C77-(F77)</f>
        <v>20</v>
      </c>
      <c r="D77" s="10" t="s">
        <v>44</v>
      </c>
      <c r="E77" s="11" t="s">
        <v>109</v>
      </c>
      <c r="F77" s="17"/>
      <c r="G77" s="21">
        <v>3.9</v>
      </c>
      <c r="H77" s="21">
        <f t="shared" ref="H77" si="6">F77*G77</f>
        <v>0</v>
      </c>
      <c r="I77" s="22"/>
      <c r="J77" s="22"/>
      <c r="K77" s="23"/>
      <c r="L77" s="23"/>
      <c r="M77" s="24"/>
      <c r="N77" s="24"/>
    </row>
    <row r="78" spans="1:14" ht="19.5">
      <c r="A78" s="9" t="s">
        <v>178</v>
      </c>
      <c r="B78" s="15">
        <v>20</v>
      </c>
      <c r="C78" s="13">
        <f>Janeiro2016!C78-(F78)</f>
        <v>13</v>
      </c>
      <c r="D78" s="10" t="s">
        <v>44</v>
      </c>
      <c r="E78" s="11" t="s">
        <v>110</v>
      </c>
      <c r="F78" s="18">
        <f>2</f>
        <v>2</v>
      </c>
      <c r="G78" s="25"/>
      <c r="H78" s="21"/>
      <c r="I78" s="22"/>
      <c r="J78" s="22"/>
      <c r="K78" s="23">
        <v>14.89</v>
      </c>
      <c r="L78" s="23">
        <f t="shared" si="5"/>
        <v>29.78</v>
      </c>
      <c r="M78" s="24"/>
      <c r="N78" s="24"/>
    </row>
    <row r="79" spans="1:14" ht="19.5">
      <c r="A79" s="9" t="s">
        <v>179</v>
      </c>
      <c r="B79" s="15">
        <v>120</v>
      </c>
      <c r="C79" s="13">
        <f>Janeiro2016!C79-(F79)</f>
        <v>52</v>
      </c>
      <c r="D79" s="10" t="s">
        <v>44</v>
      </c>
      <c r="E79" s="11" t="s">
        <v>111</v>
      </c>
      <c r="F79" s="18">
        <f>16</f>
        <v>16</v>
      </c>
      <c r="G79" s="25"/>
      <c r="H79" s="21"/>
      <c r="I79" s="22"/>
      <c r="J79" s="22"/>
      <c r="K79" s="23"/>
      <c r="L79" s="23"/>
      <c r="M79" s="24">
        <v>3.7</v>
      </c>
      <c r="N79" s="24">
        <f t="shared" ref="N79:N80" si="7">F79*M79</f>
        <v>59.2</v>
      </c>
    </row>
    <row r="80" spans="1:14" ht="19.5">
      <c r="A80" s="9" t="s">
        <v>180</v>
      </c>
      <c r="B80" s="15">
        <v>200</v>
      </c>
      <c r="C80" s="13">
        <f>Janeiro2016!C80-(F80)</f>
        <v>87</v>
      </c>
      <c r="D80" s="10" t="s">
        <v>39</v>
      </c>
      <c r="E80" s="11" t="s">
        <v>112</v>
      </c>
      <c r="F80" s="18">
        <f>27</f>
        <v>27</v>
      </c>
      <c r="G80" s="25"/>
      <c r="H80" s="21"/>
      <c r="I80" s="22"/>
      <c r="J80" s="22"/>
      <c r="K80" s="23"/>
      <c r="L80" s="23"/>
      <c r="M80" s="24">
        <v>6.34</v>
      </c>
      <c r="N80" s="24">
        <f t="shared" si="7"/>
        <v>171.18</v>
      </c>
    </row>
    <row r="81" spans="1:14" ht="19.5">
      <c r="A81" s="9" t="s">
        <v>181</v>
      </c>
      <c r="B81" s="15">
        <v>200</v>
      </c>
      <c r="C81" s="13">
        <f>Janeiro2016!C81-(F81)</f>
        <v>103</v>
      </c>
      <c r="D81" s="10" t="s">
        <v>102</v>
      </c>
      <c r="E81" s="11" t="s">
        <v>113</v>
      </c>
      <c r="F81" s="18">
        <f>27</f>
        <v>27</v>
      </c>
      <c r="G81" s="25"/>
      <c r="H81" s="21"/>
      <c r="I81" s="22"/>
      <c r="J81" s="22"/>
      <c r="K81" s="23">
        <v>1.18</v>
      </c>
      <c r="L81" s="23">
        <f t="shared" si="5"/>
        <v>31.86</v>
      </c>
      <c r="M81" s="24"/>
      <c r="N81" s="24"/>
    </row>
    <row r="82" spans="1:14" ht="19.5">
      <c r="A82" s="9" t="s">
        <v>182</v>
      </c>
      <c r="B82" s="15">
        <v>200</v>
      </c>
      <c r="C82" s="13">
        <f>Janeiro2016!C82-(F82)</f>
        <v>103</v>
      </c>
      <c r="D82" s="10" t="s">
        <v>63</v>
      </c>
      <c r="E82" s="11" t="s">
        <v>114</v>
      </c>
      <c r="F82" s="19">
        <f>27</f>
        <v>27</v>
      </c>
      <c r="G82" s="25"/>
      <c r="H82" s="21"/>
      <c r="I82" s="22"/>
      <c r="J82" s="22"/>
      <c r="K82" s="23">
        <v>3.6</v>
      </c>
      <c r="L82" s="23">
        <f t="shared" si="5"/>
        <v>97.2</v>
      </c>
      <c r="M82" s="24"/>
      <c r="N82" s="24"/>
    </row>
    <row r="83" spans="1:14" ht="19.5">
      <c r="A83" s="9" t="s">
        <v>183</v>
      </c>
      <c r="B83" s="15">
        <v>200</v>
      </c>
      <c r="C83" s="13">
        <f>Janeiro2016!C83-(F83)</f>
        <v>103</v>
      </c>
      <c r="D83" s="10" t="s">
        <v>44</v>
      </c>
      <c r="E83" s="11" t="s">
        <v>115</v>
      </c>
      <c r="F83" s="18">
        <f>27</f>
        <v>27</v>
      </c>
      <c r="G83" s="25"/>
      <c r="H83" s="21"/>
      <c r="I83" s="22"/>
      <c r="J83" s="22"/>
      <c r="K83" s="23">
        <v>1.0900000000000001</v>
      </c>
      <c r="L83" s="23">
        <f t="shared" si="5"/>
        <v>29.430000000000003</v>
      </c>
      <c r="M83" s="24"/>
      <c r="N83" s="24"/>
    </row>
    <row r="84" spans="1:14" ht="19.5">
      <c r="A84" s="9" t="s">
        <v>184</v>
      </c>
      <c r="B84" s="15">
        <v>300</v>
      </c>
      <c r="C84" s="13">
        <f>Janeiro2016!C84-(F84)</f>
        <v>155</v>
      </c>
      <c r="D84" s="10" t="s">
        <v>63</v>
      </c>
      <c r="E84" s="11" t="s">
        <v>116</v>
      </c>
      <c r="F84" s="18">
        <f>40</f>
        <v>40</v>
      </c>
      <c r="G84" s="25"/>
      <c r="H84" s="21"/>
      <c r="I84" s="22"/>
      <c r="J84" s="22"/>
      <c r="K84" s="23">
        <v>1.38</v>
      </c>
      <c r="L84" s="23">
        <f t="shared" si="5"/>
        <v>55.199999999999996</v>
      </c>
      <c r="M84" s="24"/>
      <c r="N84" s="24"/>
    </row>
    <row r="85" spans="1:14" ht="19.5">
      <c r="A85" s="9" t="s">
        <v>185</v>
      </c>
      <c r="B85" s="15">
        <v>100</v>
      </c>
      <c r="C85" s="13">
        <f>Janeiro2016!C85-(F85)</f>
        <v>53</v>
      </c>
      <c r="D85" s="10" t="s">
        <v>63</v>
      </c>
      <c r="E85" s="11" t="s">
        <v>117</v>
      </c>
      <c r="F85" s="18">
        <f>13</f>
        <v>13</v>
      </c>
      <c r="G85" s="25"/>
      <c r="H85" s="21"/>
      <c r="I85" s="22"/>
      <c r="J85" s="22"/>
      <c r="K85" s="23">
        <v>0.9</v>
      </c>
      <c r="L85" s="23">
        <f t="shared" si="5"/>
        <v>11.700000000000001</v>
      </c>
      <c r="M85" s="24"/>
      <c r="N85" s="24"/>
    </row>
    <row r="86" spans="1:14" ht="19.5">
      <c r="A86" s="9" t="s">
        <v>186</v>
      </c>
      <c r="B86" s="15">
        <v>160</v>
      </c>
      <c r="C86" s="13">
        <f>Janeiro2016!C86-(F86)</f>
        <v>81</v>
      </c>
      <c r="D86" s="10" t="s">
        <v>44</v>
      </c>
      <c r="E86" s="11" t="s">
        <v>118</v>
      </c>
      <c r="F86" s="18">
        <f>22</f>
        <v>22</v>
      </c>
      <c r="G86" s="25"/>
      <c r="H86" s="21"/>
      <c r="I86" s="22"/>
      <c r="J86" s="22"/>
      <c r="K86" s="23">
        <v>4.87</v>
      </c>
      <c r="L86" s="23">
        <f t="shared" si="5"/>
        <v>107.14</v>
      </c>
      <c r="M86" s="24"/>
      <c r="N86" s="24"/>
    </row>
    <row r="87" spans="1:14" ht="19.5">
      <c r="A87" s="9" t="s">
        <v>187</v>
      </c>
      <c r="B87" s="15">
        <v>100</v>
      </c>
      <c r="C87" s="13">
        <f>Janeiro2016!C87-(F87)</f>
        <v>53</v>
      </c>
      <c r="D87" s="10" t="s">
        <v>102</v>
      </c>
      <c r="E87" s="11" t="s">
        <v>119</v>
      </c>
      <c r="F87" s="18">
        <f>13</f>
        <v>13</v>
      </c>
      <c r="G87" s="25"/>
      <c r="H87" s="21"/>
      <c r="I87" s="22"/>
      <c r="J87" s="22"/>
      <c r="K87" s="23">
        <v>2.19</v>
      </c>
      <c r="L87" s="23">
        <f t="shared" si="5"/>
        <v>28.47</v>
      </c>
      <c r="M87" s="24"/>
      <c r="N87" s="24"/>
    </row>
    <row r="88" spans="1:14" ht="31.5">
      <c r="A88" s="9" t="s">
        <v>188</v>
      </c>
      <c r="B88" s="16">
        <v>50</v>
      </c>
      <c r="C88" s="13">
        <f>Janeiro2016!C88-(F88)</f>
        <v>28</v>
      </c>
      <c r="D88" s="10" t="s">
        <v>120</v>
      </c>
      <c r="E88" s="11" t="s">
        <v>121</v>
      </c>
      <c r="F88" s="18">
        <f>6</f>
        <v>6</v>
      </c>
      <c r="G88" s="25"/>
      <c r="H88" s="21"/>
      <c r="I88" s="22"/>
      <c r="J88" s="22"/>
      <c r="K88" s="23">
        <v>4.58</v>
      </c>
      <c r="L88" s="23">
        <f t="shared" si="5"/>
        <v>27.48</v>
      </c>
      <c r="M88" s="24"/>
      <c r="N88" s="24"/>
    </row>
    <row r="89" spans="1:14" ht="19.5">
      <c r="A89" s="9" t="s">
        <v>189</v>
      </c>
      <c r="B89" s="15">
        <v>120</v>
      </c>
      <c r="C89" s="13">
        <f>Janeiro2016!C89-(F89)</f>
        <v>62</v>
      </c>
      <c r="D89" s="10" t="s">
        <v>44</v>
      </c>
      <c r="E89" s="11" t="s">
        <v>122</v>
      </c>
      <c r="F89" s="20">
        <f>16</f>
        <v>16</v>
      </c>
      <c r="G89" s="25"/>
      <c r="H89" s="21"/>
      <c r="I89" s="22"/>
      <c r="J89" s="22"/>
      <c r="K89" s="23">
        <v>4.6100000000000003</v>
      </c>
      <c r="L89" s="23">
        <f t="shared" si="5"/>
        <v>73.760000000000005</v>
      </c>
      <c r="M89" s="24"/>
      <c r="N89" s="24"/>
    </row>
    <row r="90" spans="1:14" ht="19.5">
      <c r="A90" s="9" t="s">
        <v>190</v>
      </c>
      <c r="B90" s="15">
        <v>120</v>
      </c>
      <c r="C90" s="13">
        <f>Janeiro2016!C90-(F90)</f>
        <v>62</v>
      </c>
      <c r="D90" s="10" t="s">
        <v>44</v>
      </c>
      <c r="E90" s="11" t="s">
        <v>123</v>
      </c>
      <c r="F90" s="20">
        <f>16</f>
        <v>16</v>
      </c>
      <c r="G90" s="25"/>
      <c r="H90" s="21"/>
      <c r="I90" s="22"/>
      <c r="J90" s="22"/>
      <c r="K90" s="23">
        <v>4.13</v>
      </c>
      <c r="L90" s="23">
        <f t="shared" si="5"/>
        <v>66.08</v>
      </c>
      <c r="M90" s="24"/>
      <c r="N90" s="24"/>
    </row>
    <row r="91" spans="1:14" ht="19.5">
      <c r="A91" s="9" t="s">
        <v>191</v>
      </c>
      <c r="B91" s="15">
        <v>48</v>
      </c>
      <c r="C91" s="13">
        <f>Janeiro2016!C91-(F91)</f>
        <v>26</v>
      </c>
      <c r="D91" s="10" t="s">
        <v>44</v>
      </c>
      <c r="E91" s="11" t="s">
        <v>124</v>
      </c>
      <c r="F91" s="20">
        <f>6</f>
        <v>6</v>
      </c>
      <c r="G91" s="25"/>
      <c r="H91" s="21"/>
      <c r="I91" s="22"/>
      <c r="J91" s="22"/>
      <c r="K91" s="23">
        <v>4.99</v>
      </c>
      <c r="L91" s="23">
        <f t="shared" si="5"/>
        <v>29.94</v>
      </c>
      <c r="M91" s="24"/>
      <c r="N91" s="24"/>
    </row>
    <row r="92" spans="1:14" ht="20.25">
      <c r="A92" s="43" t="s">
        <v>13</v>
      </c>
      <c r="B92" s="43"/>
      <c r="C92" s="43"/>
      <c r="D92" s="43"/>
      <c r="E92" s="43"/>
      <c r="F92" s="44"/>
      <c r="G92" s="45">
        <f>SUM(H9:H91)</f>
        <v>6170.9800000000014</v>
      </c>
      <c r="H92" s="46"/>
      <c r="I92" s="47">
        <f>SUM(J9:J91)</f>
        <v>5688.119999999999</v>
      </c>
      <c r="J92" s="48"/>
      <c r="K92" s="49">
        <f>SUM(L9:L91)</f>
        <v>5249.1299999999992</v>
      </c>
      <c r="L92" s="50"/>
      <c r="M92" s="51">
        <f>SUM(N9:N91)</f>
        <v>2652.1099999999997</v>
      </c>
      <c r="N92" s="52"/>
    </row>
  </sheetData>
  <mergeCells count="19">
    <mergeCell ref="A2:L2"/>
    <mergeCell ref="A3:L3"/>
    <mergeCell ref="A4:L4"/>
    <mergeCell ref="A5:L5"/>
    <mergeCell ref="A7:A8"/>
    <mergeCell ref="B7:B8"/>
    <mergeCell ref="C7:C8"/>
    <mergeCell ref="D7:D8"/>
    <mergeCell ref="E7:E8"/>
    <mergeCell ref="F7:F8"/>
    <mergeCell ref="G7:H7"/>
    <mergeCell ref="I7:J7"/>
    <mergeCell ref="K7:L7"/>
    <mergeCell ref="M7:N7"/>
    <mergeCell ref="A92:F92"/>
    <mergeCell ref="G92:H92"/>
    <mergeCell ref="I92:J92"/>
    <mergeCell ref="K92:L92"/>
    <mergeCell ref="M92:N92"/>
  </mergeCells>
  <conditionalFormatting sqref="C9:C91">
    <cfRule type="cellIs" dxfId="6" priority="1" operator="lessThan">
      <formula>1</formula>
    </cfRule>
  </conditionalFormatting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92"/>
  <sheetViews>
    <sheetView zoomScale="80" zoomScaleNormal="80" workbookViewId="0">
      <selection activeCell="M92" sqref="A1:N92"/>
    </sheetView>
  </sheetViews>
  <sheetFormatPr defaultRowHeight="15"/>
  <cols>
    <col min="2" max="2" width="12.7109375" customWidth="1"/>
    <col min="3" max="3" width="13.28515625" customWidth="1"/>
    <col min="5" max="5" width="52.42578125" customWidth="1"/>
    <col min="6" max="6" width="18.28515625" customWidth="1"/>
    <col min="8" max="8" width="15" customWidth="1"/>
    <col min="10" max="10" width="14.140625" customWidth="1"/>
    <col min="12" max="12" width="14.28515625" customWidth="1"/>
    <col min="14" max="14" width="13.85546875" customWidth="1"/>
  </cols>
  <sheetData>
    <row r="1" spans="1:14">
      <c r="A1" s="1"/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1"/>
      <c r="N2" s="1"/>
    </row>
    <row r="3" spans="1:14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1"/>
      <c r="N3" s="1"/>
    </row>
    <row r="4" spans="1:14">
      <c r="A4" s="54" t="s">
        <v>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1"/>
      <c r="N4" s="1"/>
    </row>
    <row r="5" spans="1:14">
      <c r="A5" s="54" t="s">
        <v>125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1"/>
      <c r="N5" s="1"/>
    </row>
    <row r="6" spans="1:14" ht="18.75">
      <c r="A6" s="28"/>
      <c r="B6" s="28"/>
      <c r="C6" s="28"/>
      <c r="D6" s="28"/>
      <c r="E6" s="28"/>
      <c r="F6" s="28"/>
      <c r="G6" s="28"/>
      <c r="H6" s="28"/>
      <c r="I6" s="4"/>
      <c r="J6" s="4"/>
      <c r="K6" s="4"/>
      <c r="L6" s="4"/>
      <c r="M6" s="1"/>
      <c r="N6" s="1"/>
    </row>
    <row r="7" spans="1:14" ht="19.5">
      <c r="A7" s="56" t="s">
        <v>3</v>
      </c>
      <c r="B7" s="56" t="s">
        <v>4</v>
      </c>
      <c r="C7" s="57" t="s">
        <v>5</v>
      </c>
      <c r="D7" s="56" t="s">
        <v>6</v>
      </c>
      <c r="E7" s="56" t="s">
        <v>7</v>
      </c>
      <c r="F7" s="59" t="s">
        <v>8</v>
      </c>
      <c r="G7" s="61" t="s">
        <v>9</v>
      </c>
      <c r="H7" s="61"/>
      <c r="I7" s="62" t="s">
        <v>192</v>
      </c>
      <c r="J7" s="62"/>
      <c r="K7" s="63" t="s">
        <v>10</v>
      </c>
      <c r="L7" s="63"/>
      <c r="M7" s="53" t="s">
        <v>11</v>
      </c>
      <c r="N7" s="53"/>
    </row>
    <row r="8" spans="1:14" ht="19.5">
      <c r="A8" s="56"/>
      <c r="B8" s="56"/>
      <c r="C8" s="58"/>
      <c r="D8" s="56"/>
      <c r="E8" s="56"/>
      <c r="F8" s="60"/>
      <c r="G8" s="5" t="s">
        <v>12</v>
      </c>
      <c r="H8" s="5" t="s">
        <v>13</v>
      </c>
      <c r="I8" s="6" t="s">
        <v>12</v>
      </c>
      <c r="J8" s="6" t="s">
        <v>13</v>
      </c>
      <c r="K8" s="7" t="s">
        <v>12</v>
      </c>
      <c r="L8" s="7" t="s">
        <v>13</v>
      </c>
      <c r="M8" s="8" t="s">
        <v>12</v>
      </c>
      <c r="N8" s="8" t="s">
        <v>13</v>
      </c>
    </row>
    <row r="9" spans="1:14" ht="19.5">
      <c r="A9" s="9" t="s">
        <v>14</v>
      </c>
      <c r="B9" s="15">
        <v>4000</v>
      </c>
      <c r="C9" s="13">
        <f>Fevereiro2016!C9-(F9)</f>
        <v>694</v>
      </c>
      <c r="D9" s="10" t="s">
        <v>15</v>
      </c>
      <c r="E9" s="11" t="s">
        <v>33</v>
      </c>
      <c r="F9" s="17">
        <f>120+648</f>
        <v>768</v>
      </c>
      <c r="G9" s="21"/>
      <c r="H9" s="21"/>
      <c r="I9" s="22">
        <v>1.94</v>
      </c>
      <c r="J9" s="22">
        <f>F9*I9</f>
        <v>1489.92</v>
      </c>
      <c r="K9" s="23"/>
      <c r="L9" s="23"/>
      <c r="M9" s="24"/>
      <c r="N9" s="24"/>
    </row>
    <row r="10" spans="1:14" ht="31.5">
      <c r="A10" s="9" t="s">
        <v>16</v>
      </c>
      <c r="B10" s="15">
        <v>800</v>
      </c>
      <c r="C10" s="13">
        <f>Fevereiro2016!C10-(F10)</f>
        <v>112</v>
      </c>
      <c r="D10" s="10" t="s">
        <v>15</v>
      </c>
      <c r="E10" s="11" t="s">
        <v>34</v>
      </c>
      <c r="F10" s="18">
        <f>150</f>
        <v>150</v>
      </c>
      <c r="G10" s="25">
        <v>3.71</v>
      </c>
      <c r="H10" s="21">
        <f t="shared" ref="H10:H46" si="0">F10*G10</f>
        <v>556.5</v>
      </c>
      <c r="I10" s="22"/>
      <c r="J10" s="22"/>
      <c r="K10" s="23"/>
      <c r="L10" s="23"/>
      <c r="M10" s="24"/>
      <c r="N10" s="24"/>
    </row>
    <row r="11" spans="1:14" ht="31.5">
      <c r="A11" s="9" t="s">
        <v>17</v>
      </c>
      <c r="B11" s="15">
        <v>800</v>
      </c>
      <c r="C11" s="13">
        <f>Fevereiro2016!C11-(F11)</f>
        <v>191</v>
      </c>
      <c r="D11" s="10" t="s">
        <v>35</v>
      </c>
      <c r="E11" s="11" t="s">
        <v>36</v>
      </c>
      <c r="F11" s="18">
        <f>105+40</f>
        <v>145</v>
      </c>
      <c r="G11" s="25"/>
      <c r="H11" s="21"/>
      <c r="I11" s="22"/>
      <c r="J11" s="22"/>
      <c r="K11" s="23">
        <v>2.04</v>
      </c>
      <c r="L11" s="23">
        <f t="shared" ref="L11:L72" si="1">F11*K11</f>
        <v>295.8</v>
      </c>
      <c r="M11" s="24"/>
      <c r="N11" s="24"/>
    </row>
    <row r="12" spans="1:14" ht="19.5">
      <c r="A12" s="9" t="s">
        <v>18</v>
      </c>
      <c r="B12" s="15">
        <v>60</v>
      </c>
      <c r="C12" s="13">
        <f>Fevereiro2016!C12-(F12)</f>
        <v>14</v>
      </c>
      <c r="D12" s="10" t="s">
        <v>15</v>
      </c>
      <c r="E12" s="11" t="s">
        <v>37</v>
      </c>
      <c r="F12" s="18">
        <f>9+2</f>
        <v>11</v>
      </c>
      <c r="G12" s="25"/>
      <c r="H12" s="21"/>
      <c r="I12" s="22"/>
      <c r="J12" s="22"/>
      <c r="K12" s="23">
        <v>1.58</v>
      </c>
      <c r="L12" s="23">
        <f t="shared" si="1"/>
        <v>17.380000000000003</v>
      </c>
      <c r="M12" s="24"/>
      <c r="N12" s="24"/>
    </row>
    <row r="13" spans="1:14" ht="19.5">
      <c r="A13" s="9" t="s">
        <v>19</v>
      </c>
      <c r="B13" s="15">
        <v>1200</v>
      </c>
      <c r="C13" s="13">
        <f>Fevereiro2016!C13-(F13)</f>
        <v>134</v>
      </c>
      <c r="D13" s="10" t="s">
        <v>15</v>
      </c>
      <c r="E13" s="11" t="s">
        <v>38</v>
      </c>
      <c r="F13" s="18">
        <f>24+210</f>
        <v>234</v>
      </c>
      <c r="G13" s="25"/>
      <c r="H13" s="21"/>
      <c r="I13" s="22"/>
      <c r="J13" s="22"/>
      <c r="K13" s="23"/>
      <c r="L13" s="23"/>
      <c r="M13" s="24">
        <v>2.27</v>
      </c>
      <c r="N13" s="24">
        <f t="shared" ref="N13:N73" si="2">F13*M13</f>
        <v>531.17999999999995</v>
      </c>
    </row>
    <row r="14" spans="1:14" ht="31.5">
      <c r="A14" s="9" t="s">
        <v>20</v>
      </c>
      <c r="B14" s="15">
        <v>150</v>
      </c>
      <c r="C14" s="13">
        <f>Fevereiro2016!C14-(F14)</f>
        <v>22</v>
      </c>
      <c r="D14" s="10" t="s">
        <v>39</v>
      </c>
      <c r="E14" s="11" t="s">
        <v>40</v>
      </c>
      <c r="F14" s="19">
        <f>4+24</f>
        <v>28</v>
      </c>
      <c r="G14" s="25">
        <v>2.46</v>
      </c>
      <c r="H14" s="21">
        <f t="shared" si="0"/>
        <v>68.88</v>
      </c>
      <c r="I14" s="22"/>
      <c r="J14" s="22"/>
      <c r="K14" s="23"/>
      <c r="L14" s="23"/>
      <c r="M14" s="24"/>
      <c r="N14" s="24"/>
    </row>
    <row r="15" spans="1:14" ht="19.5">
      <c r="A15" s="9" t="s">
        <v>21</v>
      </c>
      <c r="B15" s="15">
        <v>150</v>
      </c>
      <c r="C15" s="13">
        <f>Fevereiro2016!C15-(F15)</f>
        <v>4</v>
      </c>
      <c r="D15" s="10" t="s">
        <v>39</v>
      </c>
      <c r="E15" s="11" t="s">
        <v>41</v>
      </c>
      <c r="F15" s="18">
        <f>27+1+10</f>
        <v>38</v>
      </c>
      <c r="G15" s="25"/>
      <c r="H15" s="21"/>
      <c r="I15" s="22"/>
      <c r="J15" s="22"/>
      <c r="K15" s="23">
        <v>2.39</v>
      </c>
      <c r="L15" s="23">
        <f t="shared" si="1"/>
        <v>90.820000000000007</v>
      </c>
      <c r="M15" s="24"/>
      <c r="N15" s="24"/>
    </row>
    <row r="16" spans="1:14" ht="19.5">
      <c r="A16" s="9" t="s">
        <v>22</v>
      </c>
      <c r="B16" s="15">
        <v>1200</v>
      </c>
      <c r="C16" s="13">
        <f>Fevereiro2016!C16-(F16)</f>
        <v>128</v>
      </c>
      <c r="D16" s="10" t="s">
        <v>35</v>
      </c>
      <c r="E16" s="11" t="s">
        <v>42</v>
      </c>
      <c r="F16" s="18">
        <f>20+216</f>
        <v>236</v>
      </c>
      <c r="G16" s="25">
        <v>3.12</v>
      </c>
      <c r="H16" s="21">
        <f t="shared" si="0"/>
        <v>736.32</v>
      </c>
      <c r="I16" s="22"/>
      <c r="J16" s="22"/>
      <c r="K16" s="23"/>
      <c r="L16" s="23"/>
      <c r="M16" s="24"/>
      <c r="N16" s="24"/>
    </row>
    <row r="17" spans="1:14" ht="19.5">
      <c r="A17" s="9" t="s">
        <v>23</v>
      </c>
      <c r="B17" s="15">
        <v>1200</v>
      </c>
      <c r="C17" s="13">
        <f>Fevereiro2016!C17-(F17)</f>
        <v>128</v>
      </c>
      <c r="D17" s="10" t="s">
        <v>35</v>
      </c>
      <c r="E17" s="11" t="s">
        <v>43</v>
      </c>
      <c r="F17" s="18">
        <f>20+216</f>
        <v>236</v>
      </c>
      <c r="G17" s="25">
        <v>3.07</v>
      </c>
      <c r="H17" s="21">
        <f t="shared" si="0"/>
        <v>724.52</v>
      </c>
      <c r="I17" s="22"/>
      <c r="J17" s="22"/>
      <c r="K17" s="23"/>
      <c r="L17" s="23"/>
      <c r="M17" s="24"/>
      <c r="N17" s="24"/>
    </row>
    <row r="18" spans="1:14" ht="19.5">
      <c r="A18" s="9" t="s">
        <v>24</v>
      </c>
      <c r="B18" s="15">
        <v>400</v>
      </c>
      <c r="C18" s="13">
        <f>Fevereiro2016!C18-(F18)</f>
        <v>50</v>
      </c>
      <c r="D18" s="10" t="s">
        <v>44</v>
      </c>
      <c r="E18" s="11" t="s">
        <v>45</v>
      </c>
      <c r="F18" s="18">
        <f>10+66</f>
        <v>76</v>
      </c>
      <c r="G18" s="25"/>
      <c r="H18" s="21"/>
      <c r="I18" s="22"/>
      <c r="J18" s="22"/>
      <c r="K18" s="23"/>
      <c r="L18" s="23"/>
      <c r="M18" s="24">
        <v>3.38</v>
      </c>
      <c r="N18" s="24">
        <f t="shared" si="2"/>
        <v>256.88</v>
      </c>
    </row>
    <row r="19" spans="1:14" ht="19.5">
      <c r="A19" s="9" t="s">
        <v>25</v>
      </c>
      <c r="B19" s="15">
        <v>220</v>
      </c>
      <c r="C19" s="13">
        <f>Fevereiro2016!C19-(F19)</f>
        <v>70</v>
      </c>
      <c r="D19" s="10" t="s">
        <v>46</v>
      </c>
      <c r="E19" s="11" t="s">
        <v>47</v>
      </c>
      <c r="F19" s="18">
        <f>32+2</f>
        <v>34</v>
      </c>
      <c r="G19" s="25"/>
      <c r="H19" s="21"/>
      <c r="I19" s="22"/>
      <c r="J19" s="22"/>
      <c r="K19" s="23">
        <v>4.03</v>
      </c>
      <c r="L19" s="23">
        <f t="shared" si="1"/>
        <v>137.02000000000001</v>
      </c>
      <c r="M19" s="24"/>
      <c r="N19" s="24"/>
    </row>
    <row r="20" spans="1:14" ht="19.5">
      <c r="A20" s="9" t="s">
        <v>26</v>
      </c>
      <c r="B20" s="15">
        <v>450</v>
      </c>
      <c r="C20" s="13">
        <f>Fevereiro2016!C20-(F20)</f>
        <v>88</v>
      </c>
      <c r="D20" s="10" t="s">
        <v>39</v>
      </c>
      <c r="E20" s="11" t="s">
        <v>48</v>
      </c>
      <c r="F20" s="18">
        <f>30+48</f>
        <v>78</v>
      </c>
      <c r="G20" s="25"/>
      <c r="H20" s="21"/>
      <c r="I20" s="22">
        <v>12.22</v>
      </c>
      <c r="J20" s="22">
        <f t="shared" ref="J20:J58" si="3">F20*I20</f>
        <v>953.16000000000008</v>
      </c>
      <c r="K20" s="23"/>
      <c r="L20" s="23"/>
      <c r="M20" s="24"/>
      <c r="N20" s="24"/>
    </row>
    <row r="21" spans="1:14" ht="19.5">
      <c r="A21" s="9" t="s">
        <v>28</v>
      </c>
      <c r="B21" s="15">
        <v>300</v>
      </c>
      <c r="C21" s="13">
        <f>Fevereiro2016!C21-(F21)</f>
        <v>73</v>
      </c>
      <c r="D21" s="10" t="s">
        <v>35</v>
      </c>
      <c r="E21" s="11" t="s">
        <v>27</v>
      </c>
      <c r="F21" s="20">
        <f>42+12</f>
        <v>54</v>
      </c>
      <c r="G21" s="25"/>
      <c r="H21" s="21"/>
      <c r="I21" s="22"/>
      <c r="J21" s="22"/>
      <c r="K21" s="23">
        <v>3.05</v>
      </c>
      <c r="L21" s="23">
        <f t="shared" si="1"/>
        <v>164.7</v>
      </c>
      <c r="M21" s="24"/>
      <c r="N21" s="24"/>
    </row>
    <row r="22" spans="1:14" ht="19.5">
      <c r="A22" s="9" t="s">
        <v>29</v>
      </c>
      <c r="B22" s="15">
        <v>400</v>
      </c>
      <c r="C22" s="13">
        <f>Fevereiro2016!C22-(F22)</f>
        <v>51</v>
      </c>
      <c r="D22" s="10" t="s">
        <v>35</v>
      </c>
      <c r="E22" s="11" t="s">
        <v>49</v>
      </c>
      <c r="F22" s="20">
        <f>8+69</f>
        <v>77</v>
      </c>
      <c r="G22" s="25">
        <v>1.64</v>
      </c>
      <c r="H22" s="21">
        <f t="shared" si="0"/>
        <v>126.27999999999999</v>
      </c>
      <c r="I22" s="22"/>
      <c r="J22" s="22"/>
      <c r="K22" s="23"/>
      <c r="L22" s="23"/>
      <c r="M22" s="24"/>
      <c r="N22" s="24"/>
    </row>
    <row r="23" spans="1:14" ht="19.5">
      <c r="A23" s="9" t="s">
        <v>30</v>
      </c>
      <c r="B23" s="15">
        <v>200</v>
      </c>
      <c r="C23" s="13">
        <f>Fevereiro2016!C23-(F23)</f>
        <v>47</v>
      </c>
      <c r="D23" s="10" t="s">
        <v>39</v>
      </c>
      <c r="E23" s="11" t="s">
        <v>50</v>
      </c>
      <c r="F23" s="20">
        <f>33+4</f>
        <v>37</v>
      </c>
      <c r="G23" s="25"/>
      <c r="H23" s="21"/>
      <c r="I23" s="22"/>
      <c r="J23" s="22"/>
      <c r="K23" s="23">
        <v>1.51</v>
      </c>
      <c r="L23" s="23">
        <f t="shared" si="1"/>
        <v>55.87</v>
      </c>
      <c r="M23" s="24"/>
      <c r="N23" s="24"/>
    </row>
    <row r="24" spans="1:14" ht="19.5">
      <c r="A24" s="9" t="s">
        <v>31</v>
      </c>
      <c r="B24" s="15">
        <v>800</v>
      </c>
      <c r="C24" s="13">
        <f>Fevereiro2016!C24-(F24)</f>
        <v>100</v>
      </c>
      <c r="D24" s="10" t="s">
        <v>44</v>
      </c>
      <c r="E24" s="11" t="s">
        <v>51</v>
      </c>
      <c r="F24" s="19">
        <f>16+138</f>
        <v>154</v>
      </c>
      <c r="G24" s="25">
        <v>3.68</v>
      </c>
      <c r="H24" s="21">
        <f t="shared" si="0"/>
        <v>566.72</v>
      </c>
      <c r="I24" s="22"/>
      <c r="J24" s="22"/>
      <c r="K24" s="23"/>
      <c r="L24" s="23"/>
      <c r="M24" s="24"/>
      <c r="N24" s="24"/>
    </row>
    <row r="25" spans="1:14" ht="19.5">
      <c r="A25" s="9" t="s">
        <v>32</v>
      </c>
      <c r="B25" s="15">
        <v>800</v>
      </c>
      <c r="C25" s="13">
        <f>Fevereiro2016!C25-(F25)</f>
        <v>100</v>
      </c>
      <c r="D25" s="10" t="s">
        <v>44</v>
      </c>
      <c r="E25" s="11" t="s">
        <v>52</v>
      </c>
      <c r="F25" s="18">
        <f>16+138</f>
        <v>154</v>
      </c>
      <c r="G25" s="25"/>
      <c r="H25" s="21"/>
      <c r="I25" s="22"/>
      <c r="J25" s="22"/>
      <c r="K25" s="23"/>
      <c r="L25" s="23"/>
      <c r="M25" s="24">
        <v>4.75</v>
      </c>
      <c r="N25" s="24">
        <f t="shared" si="2"/>
        <v>731.5</v>
      </c>
    </row>
    <row r="26" spans="1:14" ht="19.5">
      <c r="A26" s="9" t="s">
        <v>126</v>
      </c>
      <c r="B26" s="15">
        <v>800</v>
      </c>
      <c r="C26" s="13">
        <f>Fevereiro2016!C26-(F26)</f>
        <v>100</v>
      </c>
      <c r="D26" s="10" t="s">
        <v>44</v>
      </c>
      <c r="E26" s="11" t="s">
        <v>53</v>
      </c>
      <c r="F26" s="17">
        <f>16+138</f>
        <v>154</v>
      </c>
      <c r="G26" s="21">
        <v>5.88</v>
      </c>
      <c r="H26" s="21">
        <f t="shared" si="0"/>
        <v>905.52</v>
      </c>
      <c r="I26" s="22"/>
      <c r="J26" s="22"/>
      <c r="K26" s="23"/>
      <c r="L26" s="23"/>
      <c r="M26" s="24"/>
      <c r="N26" s="24"/>
    </row>
    <row r="27" spans="1:14" ht="19.5">
      <c r="A27" s="9" t="s">
        <v>127</v>
      </c>
      <c r="B27" s="15">
        <v>400</v>
      </c>
      <c r="C27" s="13">
        <f>Fevereiro2016!C27-(F27)</f>
        <v>208</v>
      </c>
      <c r="D27" s="10" t="s">
        <v>54</v>
      </c>
      <c r="E27" s="11" t="s">
        <v>55</v>
      </c>
      <c r="F27" s="18">
        <f>32</f>
        <v>32</v>
      </c>
      <c r="G27" s="25">
        <v>5.45</v>
      </c>
      <c r="H27" s="21">
        <f t="shared" si="0"/>
        <v>174.4</v>
      </c>
      <c r="I27" s="22"/>
      <c r="J27" s="22"/>
      <c r="K27" s="23"/>
      <c r="L27" s="23"/>
      <c r="M27" s="24"/>
      <c r="N27" s="24"/>
    </row>
    <row r="28" spans="1:14" ht="19.5">
      <c r="A28" s="9" t="s">
        <v>128</v>
      </c>
      <c r="B28" s="15">
        <v>500</v>
      </c>
      <c r="C28" s="13">
        <f>Fevereiro2016!C28-(F28)</f>
        <v>98</v>
      </c>
      <c r="D28" s="10" t="s">
        <v>39</v>
      </c>
      <c r="E28" s="11" t="s">
        <v>56</v>
      </c>
      <c r="F28" s="18">
        <f>35+51</f>
        <v>86</v>
      </c>
      <c r="G28" s="25"/>
      <c r="H28" s="21"/>
      <c r="I28" s="22">
        <v>17.57</v>
      </c>
      <c r="J28" s="22">
        <f t="shared" si="3"/>
        <v>1511.02</v>
      </c>
      <c r="K28" s="23"/>
      <c r="L28" s="23"/>
      <c r="M28" s="24"/>
      <c r="N28" s="24"/>
    </row>
    <row r="29" spans="1:14" ht="19.5">
      <c r="A29" s="9" t="s">
        <v>129</v>
      </c>
      <c r="B29" s="15">
        <v>500</v>
      </c>
      <c r="C29" s="13">
        <f>Fevereiro2016!C29-(F29)</f>
        <v>93</v>
      </c>
      <c r="D29" s="10" t="s">
        <v>39</v>
      </c>
      <c r="E29" s="11" t="s">
        <v>57</v>
      </c>
      <c r="F29" s="18">
        <f>35+51</f>
        <v>86</v>
      </c>
      <c r="G29" s="25">
        <v>11.49</v>
      </c>
      <c r="H29" s="21">
        <f t="shared" si="0"/>
        <v>988.14</v>
      </c>
      <c r="I29" s="22"/>
      <c r="J29" s="22"/>
      <c r="K29" s="23"/>
      <c r="L29" s="23"/>
      <c r="M29" s="24"/>
      <c r="N29" s="24"/>
    </row>
    <row r="30" spans="1:14" ht="19.5">
      <c r="A30" s="9" t="s">
        <v>130</v>
      </c>
      <c r="B30" s="15">
        <v>500</v>
      </c>
      <c r="C30" s="13">
        <f>Fevereiro2016!C30-(F30)</f>
        <v>116</v>
      </c>
      <c r="D30" s="10" t="s">
        <v>39</v>
      </c>
      <c r="E30" s="11" t="s">
        <v>58</v>
      </c>
      <c r="F30" s="18">
        <f>72+20</f>
        <v>92</v>
      </c>
      <c r="G30" s="25"/>
      <c r="H30" s="21"/>
      <c r="I30" s="22"/>
      <c r="J30" s="22"/>
      <c r="K30" s="23">
        <v>13.58</v>
      </c>
      <c r="L30" s="23">
        <f t="shared" si="1"/>
        <v>1249.3599999999999</v>
      </c>
      <c r="M30" s="24"/>
      <c r="N30" s="24"/>
    </row>
    <row r="31" spans="1:14" ht="19.5">
      <c r="A31" s="9" t="s">
        <v>131</v>
      </c>
      <c r="B31" s="15">
        <v>500</v>
      </c>
      <c r="C31" s="13">
        <f>Fevereiro2016!C31-(F31)</f>
        <v>98</v>
      </c>
      <c r="D31" s="10" t="s">
        <v>39</v>
      </c>
      <c r="E31" s="11" t="s">
        <v>59</v>
      </c>
      <c r="F31" s="19">
        <f>35+51</f>
        <v>86</v>
      </c>
      <c r="G31" s="25"/>
      <c r="H31" s="21"/>
      <c r="I31" s="22">
        <v>16.89</v>
      </c>
      <c r="J31" s="22">
        <f t="shared" si="3"/>
        <v>1452.54</v>
      </c>
      <c r="K31" s="23"/>
      <c r="L31" s="23"/>
      <c r="M31" s="24"/>
      <c r="N31" s="24"/>
    </row>
    <row r="32" spans="1:14" ht="19.5">
      <c r="A32" s="9" t="s">
        <v>132</v>
      </c>
      <c r="B32" s="15">
        <v>500</v>
      </c>
      <c r="C32" s="13">
        <f>Fevereiro2016!C32-(F32)</f>
        <v>93</v>
      </c>
      <c r="D32" s="10" t="s">
        <v>39</v>
      </c>
      <c r="E32" s="11" t="s">
        <v>60</v>
      </c>
      <c r="F32" s="18">
        <f>35+51</f>
        <v>86</v>
      </c>
      <c r="G32" s="25">
        <v>9.1199999999999992</v>
      </c>
      <c r="H32" s="21">
        <f t="shared" si="0"/>
        <v>784.31999999999994</v>
      </c>
      <c r="I32" s="22"/>
      <c r="J32" s="22"/>
      <c r="K32" s="23"/>
      <c r="L32" s="23"/>
      <c r="M32" s="24"/>
      <c r="N32" s="24"/>
    </row>
    <row r="33" spans="1:14" ht="19.5">
      <c r="A33" s="9" t="s">
        <v>133</v>
      </c>
      <c r="B33" s="15">
        <v>400</v>
      </c>
      <c r="C33" s="13">
        <f>Fevereiro2016!C33-(F33)</f>
        <v>240</v>
      </c>
      <c r="D33" s="10" t="s">
        <v>54</v>
      </c>
      <c r="E33" s="11" t="s">
        <v>61</v>
      </c>
      <c r="F33" s="18">
        <f>32</f>
        <v>32</v>
      </c>
      <c r="G33" s="25"/>
      <c r="H33" s="21"/>
      <c r="I33" s="22"/>
      <c r="J33" s="22"/>
      <c r="K33" s="23">
        <v>13.25</v>
      </c>
      <c r="L33" s="23">
        <f t="shared" si="1"/>
        <v>424</v>
      </c>
      <c r="M33" s="24"/>
      <c r="N33" s="24"/>
    </row>
    <row r="34" spans="1:14" ht="19.5">
      <c r="A34" s="9" t="s">
        <v>134</v>
      </c>
      <c r="B34" s="15">
        <v>250</v>
      </c>
      <c r="C34" s="13">
        <f>Fevereiro2016!C34-(F34)</f>
        <v>127</v>
      </c>
      <c r="D34" s="10" t="s">
        <v>39</v>
      </c>
      <c r="E34" s="11" t="s">
        <v>62</v>
      </c>
      <c r="F34" s="18">
        <f>20</f>
        <v>20</v>
      </c>
      <c r="G34" s="25"/>
      <c r="H34" s="21"/>
      <c r="I34" s="22"/>
      <c r="J34" s="22"/>
      <c r="K34" s="23"/>
      <c r="L34" s="23"/>
      <c r="M34" s="24">
        <v>13.69</v>
      </c>
      <c r="N34" s="24">
        <f t="shared" si="2"/>
        <v>273.8</v>
      </c>
    </row>
    <row r="35" spans="1:14" ht="19.5">
      <c r="A35" s="9" t="s">
        <v>135</v>
      </c>
      <c r="B35" s="15">
        <v>150</v>
      </c>
      <c r="C35" s="13">
        <f>Fevereiro2016!C35-(F35)</f>
        <v>34</v>
      </c>
      <c r="D35" s="10" t="s">
        <v>63</v>
      </c>
      <c r="E35" s="11" t="s">
        <v>64</v>
      </c>
      <c r="F35" s="18">
        <f>5+21</f>
        <v>26</v>
      </c>
      <c r="G35" s="25">
        <v>1.1399999999999999</v>
      </c>
      <c r="H35" s="21">
        <f t="shared" si="0"/>
        <v>29.639999999999997</v>
      </c>
      <c r="I35" s="22"/>
      <c r="J35" s="22"/>
      <c r="K35" s="23"/>
      <c r="L35" s="23"/>
      <c r="M35" s="24"/>
      <c r="N35" s="24"/>
    </row>
    <row r="36" spans="1:14" ht="19.5">
      <c r="A36" s="9" t="s">
        <v>136</v>
      </c>
      <c r="B36" s="15">
        <v>100</v>
      </c>
      <c r="C36" s="13">
        <f>Fevereiro2016!C36-(F36)</f>
        <v>16</v>
      </c>
      <c r="D36" s="10" t="s">
        <v>63</v>
      </c>
      <c r="E36" s="11" t="s">
        <v>65</v>
      </c>
      <c r="F36" s="18">
        <f>18</f>
        <v>18</v>
      </c>
      <c r="G36" s="25">
        <v>4.9000000000000004</v>
      </c>
      <c r="H36" s="21">
        <f t="shared" si="0"/>
        <v>88.2</v>
      </c>
      <c r="I36" s="22"/>
      <c r="J36" s="22"/>
      <c r="K36" s="23"/>
      <c r="L36" s="23"/>
      <c r="M36" s="24"/>
      <c r="N36" s="24"/>
    </row>
    <row r="37" spans="1:14" ht="31.5">
      <c r="A37" s="9" t="s">
        <v>137</v>
      </c>
      <c r="B37" s="15">
        <v>200</v>
      </c>
      <c r="C37" s="13">
        <f>Fevereiro2016!C37-(F37)</f>
        <v>53</v>
      </c>
      <c r="D37" s="10" t="s">
        <v>39</v>
      </c>
      <c r="E37" s="11" t="s">
        <v>66</v>
      </c>
      <c r="F37" s="18">
        <f>27+8</f>
        <v>35</v>
      </c>
      <c r="G37" s="25"/>
      <c r="H37" s="21"/>
      <c r="I37" s="22"/>
      <c r="J37" s="22"/>
      <c r="K37" s="23">
        <v>2.98</v>
      </c>
      <c r="L37" s="23">
        <f t="shared" si="1"/>
        <v>104.3</v>
      </c>
      <c r="M37" s="24"/>
      <c r="N37" s="24"/>
    </row>
    <row r="38" spans="1:14" ht="19.5">
      <c r="A38" s="9" t="s">
        <v>138</v>
      </c>
      <c r="B38" s="15">
        <v>200</v>
      </c>
      <c r="C38" s="13">
        <f>Fevereiro2016!C38-(F38)</f>
        <v>50</v>
      </c>
      <c r="D38" s="10" t="s">
        <v>63</v>
      </c>
      <c r="E38" s="11" t="s">
        <v>67</v>
      </c>
      <c r="F38" s="20">
        <f>10+24</f>
        <v>34</v>
      </c>
      <c r="G38" s="25">
        <v>0.51</v>
      </c>
      <c r="H38" s="21">
        <f t="shared" si="0"/>
        <v>17.34</v>
      </c>
      <c r="I38" s="22"/>
      <c r="J38" s="22"/>
      <c r="K38" s="23"/>
      <c r="L38" s="23"/>
      <c r="M38" s="24"/>
      <c r="N38" s="24"/>
    </row>
    <row r="39" spans="1:14" ht="19.5">
      <c r="A39" s="9" t="s">
        <v>139</v>
      </c>
      <c r="B39" s="15">
        <v>100</v>
      </c>
      <c r="C39" s="13">
        <f>Fevereiro2016!C39-(F39)</f>
        <v>84</v>
      </c>
      <c r="D39" s="10" t="s">
        <v>39</v>
      </c>
      <c r="E39" s="11" t="s">
        <v>68</v>
      </c>
      <c r="F39" s="20"/>
      <c r="G39" s="25"/>
      <c r="H39" s="21"/>
      <c r="I39" s="22"/>
      <c r="J39" s="22"/>
      <c r="K39" s="23">
        <v>7.43</v>
      </c>
      <c r="L39" s="23">
        <f t="shared" si="1"/>
        <v>0</v>
      </c>
      <c r="M39" s="24"/>
      <c r="N39" s="24"/>
    </row>
    <row r="40" spans="1:14" ht="31.5">
      <c r="A40" s="9" t="s">
        <v>140</v>
      </c>
      <c r="B40" s="15">
        <v>300</v>
      </c>
      <c r="C40" s="13">
        <f>Fevereiro2016!C40-(F40)</f>
        <v>71</v>
      </c>
      <c r="D40" s="10" t="s">
        <v>63</v>
      </c>
      <c r="E40" s="11" t="s">
        <v>69</v>
      </c>
      <c r="F40" s="20">
        <f>45+10</f>
        <v>55</v>
      </c>
      <c r="G40" s="25"/>
      <c r="H40" s="21"/>
      <c r="I40" s="22"/>
      <c r="J40" s="22"/>
      <c r="K40" s="23">
        <v>2.87</v>
      </c>
      <c r="L40" s="23">
        <f t="shared" si="1"/>
        <v>157.85</v>
      </c>
      <c r="M40" s="24"/>
      <c r="N40" s="24"/>
    </row>
    <row r="41" spans="1:14" ht="19.5">
      <c r="A41" s="9" t="s">
        <v>141</v>
      </c>
      <c r="B41" s="15">
        <v>30</v>
      </c>
      <c r="C41" s="13">
        <f>Fevereiro2016!C41-(F41)</f>
        <v>18</v>
      </c>
      <c r="D41" s="10" t="s">
        <v>39</v>
      </c>
      <c r="E41" s="11" t="s">
        <v>70</v>
      </c>
      <c r="F41" s="19">
        <f>2</f>
        <v>2</v>
      </c>
      <c r="G41" s="25">
        <v>7.38</v>
      </c>
      <c r="H41" s="21">
        <f t="shared" si="0"/>
        <v>14.76</v>
      </c>
      <c r="I41" s="22"/>
      <c r="J41" s="22"/>
      <c r="K41" s="23"/>
      <c r="L41" s="23"/>
      <c r="M41" s="24"/>
      <c r="N41" s="24"/>
    </row>
    <row r="42" spans="1:14" ht="19.5">
      <c r="A42" s="9" t="s">
        <v>142</v>
      </c>
      <c r="B42" s="15">
        <v>100</v>
      </c>
      <c r="C42" s="13">
        <f>Fevereiro2016!C42-(F42)</f>
        <v>48</v>
      </c>
      <c r="D42" s="10" t="s">
        <v>63</v>
      </c>
      <c r="E42" s="11" t="s">
        <v>71</v>
      </c>
      <c r="F42" s="18">
        <f>12</f>
        <v>12</v>
      </c>
      <c r="G42" s="25"/>
      <c r="H42" s="21"/>
      <c r="I42" s="22"/>
      <c r="J42" s="22"/>
      <c r="K42" s="23">
        <v>3.89</v>
      </c>
      <c r="L42" s="23">
        <f t="shared" si="1"/>
        <v>46.68</v>
      </c>
      <c r="M42" s="24"/>
      <c r="N42" s="24"/>
    </row>
    <row r="43" spans="1:14" ht="19.5">
      <c r="A43" s="9" t="s">
        <v>143</v>
      </c>
      <c r="B43" s="15">
        <v>20</v>
      </c>
      <c r="C43" s="13">
        <f>Fevereiro2016!C43-(F43)</f>
        <v>15</v>
      </c>
      <c r="D43" s="10" t="s">
        <v>39</v>
      </c>
      <c r="E43" s="11" t="s">
        <v>72</v>
      </c>
      <c r="F43" s="17">
        <f>1</f>
        <v>1</v>
      </c>
      <c r="G43" s="21"/>
      <c r="H43" s="21"/>
      <c r="I43" s="22"/>
      <c r="J43" s="22"/>
      <c r="K43" s="23">
        <v>8.1300000000000008</v>
      </c>
      <c r="L43" s="23">
        <f t="shared" si="1"/>
        <v>8.1300000000000008</v>
      </c>
      <c r="M43" s="24"/>
      <c r="N43" s="24"/>
    </row>
    <row r="44" spans="1:14" ht="19.5">
      <c r="A44" s="9" t="s">
        <v>144</v>
      </c>
      <c r="B44" s="15">
        <v>400</v>
      </c>
      <c r="C44" s="13">
        <f>Fevereiro2016!C44-(F44)</f>
        <v>68</v>
      </c>
      <c r="D44" s="10" t="s">
        <v>63</v>
      </c>
      <c r="E44" s="11" t="s">
        <v>73</v>
      </c>
      <c r="F44" s="18">
        <f>12+60</f>
        <v>72</v>
      </c>
      <c r="G44" s="25">
        <v>1.58</v>
      </c>
      <c r="H44" s="21">
        <f t="shared" si="0"/>
        <v>113.76</v>
      </c>
      <c r="I44" s="22"/>
      <c r="J44" s="22"/>
      <c r="K44" s="23"/>
      <c r="L44" s="23"/>
      <c r="M44" s="24"/>
      <c r="N44" s="24"/>
    </row>
    <row r="45" spans="1:14" ht="19.5">
      <c r="A45" s="9" t="s">
        <v>145</v>
      </c>
      <c r="B45" s="15">
        <v>400</v>
      </c>
      <c r="C45" s="13">
        <f>Fevereiro2016!C45-(F45)</f>
        <v>68</v>
      </c>
      <c r="D45" s="10" t="s">
        <v>63</v>
      </c>
      <c r="E45" s="11" t="s">
        <v>74</v>
      </c>
      <c r="F45" s="18">
        <f>12+60</f>
        <v>72</v>
      </c>
      <c r="G45" s="25">
        <v>2.54</v>
      </c>
      <c r="H45" s="21">
        <f t="shared" si="0"/>
        <v>182.88</v>
      </c>
      <c r="I45" s="22"/>
      <c r="J45" s="22"/>
      <c r="K45" s="23"/>
      <c r="L45" s="23"/>
      <c r="M45" s="24"/>
      <c r="N45" s="24"/>
    </row>
    <row r="46" spans="1:14" ht="19.5">
      <c r="A46" s="9" t="s">
        <v>146</v>
      </c>
      <c r="B46" s="15">
        <v>120</v>
      </c>
      <c r="C46" s="13">
        <f>Fevereiro2016!C46-(F46)</f>
        <v>21</v>
      </c>
      <c r="D46" s="10" t="s">
        <v>39</v>
      </c>
      <c r="E46" s="11" t="s">
        <v>75</v>
      </c>
      <c r="F46" s="18">
        <f>5+15</f>
        <v>20</v>
      </c>
      <c r="G46" s="25">
        <v>4.6399999999999997</v>
      </c>
      <c r="H46" s="21">
        <f t="shared" si="0"/>
        <v>92.8</v>
      </c>
      <c r="I46" s="22"/>
      <c r="J46" s="22"/>
      <c r="K46" s="23"/>
      <c r="L46" s="23"/>
      <c r="M46" s="24"/>
      <c r="N46" s="24"/>
    </row>
    <row r="47" spans="1:14" ht="31.5">
      <c r="A47" s="9" t="s">
        <v>147</v>
      </c>
      <c r="B47" s="15">
        <v>1200</v>
      </c>
      <c r="C47" s="13">
        <f>Fevereiro2016!C47-(F47)</f>
        <v>262</v>
      </c>
      <c r="D47" s="10" t="s">
        <v>63</v>
      </c>
      <c r="E47" s="11" t="s">
        <v>76</v>
      </c>
      <c r="F47" s="18">
        <f>174+50</f>
        <v>224</v>
      </c>
      <c r="G47" s="25"/>
      <c r="H47" s="21"/>
      <c r="I47" s="22"/>
      <c r="J47" s="22"/>
      <c r="K47" s="23">
        <v>3.65</v>
      </c>
      <c r="L47" s="23">
        <f t="shared" si="1"/>
        <v>817.6</v>
      </c>
      <c r="M47" s="24"/>
      <c r="N47" s="24"/>
    </row>
    <row r="48" spans="1:14" ht="19.5">
      <c r="A48" s="9" t="s">
        <v>148</v>
      </c>
      <c r="B48" s="15">
        <v>300</v>
      </c>
      <c r="C48" s="13">
        <f>Fevereiro2016!C48-(F48)</f>
        <v>63</v>
      </c>
      <c r="D48" s="10" t="s">
        <v>39</v>
      </c>
      <c r="E48" s="11" t="s">
        <v>77</v>
      </c>
      <c r="F48" s="19">
        <f>20+30</f>
        <v>50</v>
      </c>
      <c r="G48" s="25"/>
      <c r="H48" s="21"/>
      <c r="I48" s="22"/>
      <c r="J48" s="22"/>
      <c r="K48" s="23"/>
      <c r="L48" s="23"/>
      <c r="M48" s="24">
        <v>6.49</v>
      </c>
      <c r="N48" s="24">
        <f t="shared" si="2"/>
        <v>324.5</v>
      </c>
    </row>
    <row r="49" spans="1:14" ht="19.5">
      <c r="A49" s="9" t="s">
        <v>149</v>
      </c>
      <c r="B49" s="15">
        <v>500</v>
      </c>
      <c r="C49" s="13">
        <f>Fevereiro2016!C49-(F49)</f>
        <v>126</v>
      </c>
      <c r="D49" s="10" t="s">
        <v>63</v>
      </c>
      <c r="E49" s="11" t="s">
        <v>78</v>
      </c>
      <c r="F49" s="18">
        <f>20+72</f>
        <v>92</v>
      </c>
      <c r="G49" s="25"/>
      <c r="H49" s="21"/>
      <c r="I49" s="22">
        <v>0.99</v>
      </c>
      <c r="J49" s="22">
        <f t="shared" si="3"/>
        <v>91.08</v>
      </c>
      <c r="K49" s="23"/>
      <c r="L49" s="23"/>
      <c r="M49" s="24"/>
      <c r="N49" s="24"/>
    </row>
    <row r="50" spans="1:14" ht="47.25">
      <c r="A50" s="9" t="s">
        <v>150</v>
      </c>
      <c r="B50" s="15">
        <v>500</v>
      </c>
      <c r="C50" s="13">
        <f>Fevereiro2016!C50-(F50)</f>
        <v>102</v>
      </c>
      <c r="D50" s="10" t="s">
        <v>39</v>
      </c>
      <c r="E50" s="11" t="s">
        <v>79</v>
      </c>
      <c r="F50" s="18">
        <f>20+72</f>
        <v>92</v>
      </c>
      <c r="G50" s="25"/>
      <c r="H50" s="21"/>
      <c r="I50" s="22">
        <v>1.57</v>
      </c>
      <c r="J50" s="22">
        <f t="shared" si="3"/>
        <v>144.44</v>
      </c>
      <c r="K50" s="23"/>
      <c r="L50" s="23"/>
      <c r="M50" s="24"/>
      <c r="N50" s="24"/>
    </row>
    <row r="51" spans="1:14" ht="63">
      <c r="A51" s="9" t="s">
        <v>151</v>
      </c>
      <c r="B51" s="15">
        <v>36</v>
      </c>
      <c r="C51" s="13">
        <f>Fevereiro2016!C51-(F51)</f>
        <v>13</v>
      </c>
      <c r="D51" s="10" t="s">
        <v>63</v>
      </c>
      <c r="E51" s="11" t="s">
        <v>80</v>
      </c>
      <c r="F51" s="18">
        <f>2+3</f>
        <v>5</v>
      </c>
      <c r="G51" s="25"/>
      <c r="H51" s="21"/>
      <c r="I51" s="22">
        <v>2.0499999999999998</v>
      </c>
      <c r="J51" s="22">
        <f t="shared" si="3"/>
        <v>10.25</v>
      </c>
      <c r="K51" s="23"/>
      <c r="L51" s="23"/>
      <c r="M51" s="24"/>
      <c r="N51" s="24"/>
    </row>
    <row r="52" spans="1:14" ht="19.5">
      <c r="A52" s="9" t="s">
        <v>152</v>
      </c>
      <c r="B52" s="15">
        <v>30</v>
      </c>
      <c r="C52" s="13">
        <f>Fevereiro2016!C52-(F52)</f>
        <v>20</v>
      </c>
      <c r="D52" s="10" t="s">
        <v>15</v>
      </c>
      <c r="E52" s="11" t="s">
        <v>81</v>
      </c>
      <c r="F52" s="18">
        <f>2</f>
        <v>2</v>
      </c>
      <c r="G52" s="25"/>
      <c r="H52" s="21"/>
      <c r="I52" s="22"/>
      <c r="J52" s="22"/>
      <c r="K52" s="23">
        <v>15.35</v>
      </c>
      <c r="L52" s="23">
        <f t="shared" si="1"/>
        <v>30.7</v>
      </c>
      <c r="M52" s="24"/>
      <c r="N52" s="24"/>
    </row>
    <row r="53" spans="1:14" ht="63">
      <c r="A53" s="9" t="s">
        <v>153</v>
      </c>
      <c r="B53" s="15">
        <v>60</v>
      </c>
      <c r="C53" s="13">
        <f>Fevereiro2016!C53-(F53)</f>
        <v>0</v>
      </c>
      <c r="D53" s="10" t="s">
        <v>82</v>
      </c>
      <c r="E53" s="11" t="s">
        <v>83</v>
      </c>
      <c r="F53" s="18"/>
      <c r="G53" s="25"/>
      <c r="H53" s="21"/>
      <c r="I53" s="22"/>
      <c r="J53" s="22"/>
      <c r="K53" s="23">
        <v>17.47</v>
      </c>
      <c r="L53" s="23">
        <f t="shared" si="1"/>
        <v>0</v>
      </c>
      <c r="M53" s="24"/>
      <c r="N53" s="24"/>
    </row>
    <row r="54" spans="1:14" ht="63">
      <c r="A54" s="9" t="s">
        <v>154</v>
      </c>
      <c r="B54" s="15">
        <v>60</v>
      </c>
      <c r="C54" s="13">
        <f>Fevereiro2016!C54-(F54)</f>
        <v>0</v>
      </c>
      <c r="D54" s="10" t="s">
        <v>82</v>
      </c>
      <c r="E54" s="11" t="s">
        <v>84</v>
      </c>
      <c r="F54" s="18"/>
      <c r="G54" s="25"/>
      <c r="H54" s="21"/>
      <c r="I54" s="22"/>
      <c r="J54" s="22"/>
      <c r="K54" s="23">
        <v>17.47</v>
      </c>
      <c r="L54" s="23">
        <f t="shared" si="1"/>
        <v>0</v>
      </c>
      <c r="M54" s="24"/>
      <c r="N54" s="24"/>
    </row>
    <row r="55" spans="1:14" ht="31.5">
      <c r="A55" s="9" t="s">
        <v>155</v>
      </c>
      <c r="B55" s="15">
        <v>300</v>
      </c>
      <c r="C55" s="13">
        <f>Fevereiro2016!C55-(F55)</f>
        <v>175</v>
      </c>
      <c r="D55" s="10" t="s">
        <v>54</v>
      </c>
      <c r="E55" s="11" t="s">
        <v>85</v>
      </c>
      <c r="F55" s="20">
        <f>25</f>
        <v>25</v>
      </c>
      <c r="G55" s="25"/>
      <c r="H55" s="21"/>
      <c r="I55" s="22"/>
      <c r="J55" s="22"/>
      <c r="K55" s="23">
        <v>13.23</v>
      </c>
      <c r="L55" s="23">
        <f t="shared" si="1"/>
        <v>330.75</v>
      </c>
      <c r="M55" s="24"/>
      <c r="N55" s="24"/>
    </row>
    <row r="56" spans="1:14" ht="47.25">
      <c r="A56" s="9" t="s">
        <v>156</v>
      </c>
      <c r="B56" s="15">
        <v>30</v>
      </c>
      <c r="C56" s="13">
        <f>Fevereiro2016!C56-(F56)</f>
        <v>18</v>
      </c>
      <c r="D56" s="10" t="s">
        <v>39</v>
      </c>
      <c r="E56" s="11" t="s">
        <v>86</v>
      </c>
      <c r="F56" s="20">
        <f>2</f>
        <v>2</v>
      </c>
      <c r="G56" s="25"/>
      <c r="H56" s="21"/>
      <c r="I56" s="22">
        <v>4.3600000000000003</v>
      </c>
      <c r="J56" s="22">
        <f t="shared" si="3"/>
        <v>8.7200000000000006</v>
      </c>
      <c r="K56" s="23"/>
      <c r="L56" s="23"/>
      <c r="M56" s="24"/>
      <c r="N56" s="24"/>
    </row>
    <row r="57" spans="1:14" ht="31.5">
      <c r="A57" s="9" t="s">
        <v>157</v>
      </c>
      <c r="B57" s="15">
        <v>30</v>
      </c>
      <c r="C57" s="13">
        <f>Fevereiro2016!C57-(F57)</f>
        <v>20</v>
      </c>
      <c r="D57" s="10" t="s">
        <v>39</v>
      </c>
      <c r="E57" s="11" t="s">
        <v>87</v>
      </c>
      <c r="F57" s="20">
        <f>2</f>
        <v>2</v>
      </c>
      <c r="G57" s="25"/>
      <c r="H57" s="21"/>
      <c r="I57" s="22"/>
      <c r="J57" s="22"/>
      <c r="K57" s="23">
        <v>8.9</v>
      </c>
      <c r="L57" s="23">
        <f t="shared" si="1"/>
        <v>17.8</v>
      </c>
      <c r="M57" s="24"/>
      <c r="N57" s="24"/>
    </row>
    <row r="58" spans="1:14" ht="19.5">
      <c r="A58" s="9" t="s">
        <v>158</v>
      </c>
      <c r="B58" s="15">
        <v>20</v>
      </c>
      <c r="C58" s="13">
        <f>Fevereiro2016!C58-(F58)</f>
        <v>14</v>
      </c>
      <c r="D58" s="10" t="s">
        <v>15</v>
      </c>
      <c r="E58" s="11" t="s">
        <v>88</v>
      </c>
      <c r="F58" s="19">
        <f>1</f>
        <v>1</v>
      </c>
      <c r="G58" s="25"/>
      <c r="H58" s="21"/>
      <c r="I58" s="22">
        <v>26.99</v>
      </c>
      <c r="J58" s="22">
        <f t="shared" si="3"/>
        <v>26.99</v>
      </c>
      <c r="K58" s="23"/>
      <c r="L58" s="23"/>
      <c r="M58" s="24"/>
      <c r="N58" s="24"/>
    </row>
    <row r="59" spans="1:14" ht="47.25">
      <c r="A59" s="9" t="s">
        <v>159</v>
      </c>
      <c r="B59" s="15">
        <v>15</v>
      </c>
      <c r="C59" s="13">
        <f>Fevereiro2016!C59-(F59)</f>
        <v>10</v>
      </c>
      <c r="D59" s="10" t="s">
        <v>89</v>
      </c>
      <c r="E59" s="11" t="s">
        <v>90</v>
      </c>
      <c r="F59" s="18">
        <f>1</f>
        <v>1</v>
      </c>
      <c r="G59" s="25"/>
      <c r="H59" s="21"/>
      <c r="I59" s="22"/>
      <c r="J59" s="22"/>
      <c r="K59" s="23">
        <v>129.49</v>
      </c>
      <c r="L59" s="23">
        <f t="shared" si="1"/>
        <v>129.49</v>
      </c>
      <c r="M59" s="24"/>
      <c r="N59" s="24"/>
    </row>
    <row r="60" spans="1:14" ht="31.5">
      <c r="A60" s="9" t="s">
        <v>160</v>
      </c>
      <c r="B60" s="15">
        <v>80</v>
      </c>
      <c r="C60" s="13">
        <f>Fevereiro2016!C60-(F60)</f>
        <v>30</v>
      </c>
      <c r="D60" s="10" t="s">
        <v>63</v>
      </c>
      <c r="E60" s="12" t="s">
        <v>91</v>
      </c>
      <c r="F60" s="17">
        <f>11</f>
        <v>11</v>
      </c>
      <c r="G60" s="21"/>
      <c r="H60" s="21"/>
      <c r="I60" s="22"/>
      <c r="J60" s="22"/>
      <c r="K60" s="23">
        <v>2.97</v>
      </c>
      <c r="L60" s="23">
        <f t="shared" si="1"/>
        <v>32.67</v>
      </c>
      <c r="M60" s="24"/>
      <c r="N60" s="24"/>
    </row>
    <row r="61" spans="1:14" ht="31.5">
      <c r="A61" s="9" t="s">
        <v>161</v>
      </c>
      <c r="B61" s="15">
        <v>500</v>
      </c>
      <c r="C61" s="13">
        <f>Fevereiro2016!C61-(F61)</f>
        <v>188</v>
      </c>
      <c r="D61" s="10" t="s">
        <v>63</v>
      </c>
      <c r="E61" s="11" t="s">
        <v>92</v>
      </c>
      <c r="F61" s="18">
        <f>68</f>
        <v>68</v>
      </c>
      <c r="G61" s="25"/>
      <c r="H61" s="21"/>
      <c r="I61" s="22"/>
      <c r="J61" s="22"/>
      <c r="K61" s="23">
        <v>1.33</v>
      </c>
      <c r="L61" s="23">
        <f t="shared" si="1"/>
        <v>90.44</v>
      </c>
      <c r="M61" s="24"/>
      <c r="N61" s="24"/>
    </row>
    <row r="62" spans="1:14" ht="31.5">
      <c r="A62" s="9" t="s">
        <v>162</v>
      </c>
      <c r="B62" s="15">
        <v>500</v>
      </c>
      <c r="C62" s="13">
        <f>Fevereiro2016!C62-(F62)</f>
        <v>188</v>
      </c>
      <c r="D62" s="10" t="s">
        <v>63</v>
      </c>
      <c r="E62" s="11" t="s">
        <v>93</v>
      </c>
      <c r="F62" s="18">
        <f>68</f>
        <v>68</v>
      </c>
      <c r="G62" s="25"/>
      <c r="H62" s="21"/>
      <c r="I62" s="22"/>
      <c r="J62" s="22"/>
      <c r="K62" s="23">
        <v>1.78</v>
      </c>
      <c r="L62" s="23">
        <f t="shared" si="1"/>
        <v>121.04</v>
      </c>
      <c r="M62" s="24"/>
      <c r="N62" s="24"/>
    </row>
    <row r="63" spans="1:14" ht="31.5">
      <c r="A63" s="9" t="s">
        <v>163</v>
      </c>
      <c r="B63" s="15">
        <v>50</v>
      </c>
      <c r="C63" s="13">
        <f>Fevereiro2016!C63-(F63)</f>
        <v>22</v>
      </c>
      <c r="D63" s="10" t="s">
        <v>63</v>
      </c>
      <c r="E63" s="12" t="s">
        <v>94</v>
      </c>
      <c r="F63" s="18">
        <f>6</f>
        <v>6</v>
      </c>
      <c r="G63" s="25"/>
      <c r="H63" s="21"/>
      <c r="I63" s="22"/>
      <c r="J63" s="22"/>
      <c r="K63" s="23">
        <v>3.88</v>
      </c>
      <c r="L63" s="23">
        <f t="shared" si="1"/>
        <v>23.28</v>
      </c>
      <c r="M63" s="24"/>
      <c r="N63" s="24"/>
    </row>
    <row r="64" spans="1:14" ht="31.5">
      <c r="A64" s="9" t="s">
        <v>164</v>
      </c>
      <c r="B64" s="15">
        <v>600</v>
      </c>
      <c r="C64" s="13">
        <f>Fevereiro2016!C64-(F64)</f>
        <v>222</v>
      </c>
      <c r="D64" s="10" t="s">
        <v>63</v>
      </c>
      <c r="E64" s="11" t="s">
        <v>95</v>
      </c>
      <c r="F64" s="18">
        <f>82</f>
        <v>82</v>
      </c>
      <c r="G64" s="25"/>
      <c r="H64" s="21"/>
      <c r="I64" s="22"/>
      <c r="J64" s="22"/>
      <c r="K64" s="23">
        <v>0.87</v>
      </c>
      <c r="L64" s="23">
        <f t="shared" si="1"/>
        <v>71.34</v>
      </c>
      <c r="M64" s="24"/>
      <c r="N64" s="24"/>
    </row>
    <row r="65" spans="1:14" ht="31.5">
      <c r="A65" s="9" t="s">
        <v>165</v>
      </c>
      <c r="B65" s="15">
        <v>60</v>
      </c>
      <c r="C65" s="13">
        <f>Fevereiro2016!C65-(F65)</f>
        <v>23</v>
      </c>
      <c r="D65" s="10" t="s">
        <v>63</v>
      </c>
      <c r="E65" s="11" t="s">
        <v>96</v>
      </c>
      <c r="F65" s="19">
        <f>8</f>
        <v>8</v>
      </c>
      <c r="G65" s="25"/>
      <c r="H65" s="21"/>
      <c r="I65" s="22"/>
      <c r="J65" s="22"/>
      <c r="K65" s="23">
        <v>3.09</v>
      </c>
      <c r="L65" s="23">
        <f t="shared" si="1"/>
        <v>24.72</v>
      </c>
      <c r="M65" s="24"/>
      <c r="N65" s="24"/>
    </row>
    <row r="66" spans="1:14" ht="31.5">
      <c r="A66" s="9" t="s">
        <v>166</v>
      </c>
      <c r="B66" s="15">
        <v>100</v>
      </c>
      <c r="C66" s="13">
        <f>Fevereiro2016!C66-(F66)</f>
        <v>40</v>
      </c>
      <c r="D66" s="10" t="s">
        <v>63</v>
      </c>
      <c r="E66" s="11" t="s">
        <v>97</v>
      </c>
      <c r="F66" s="18">
        <f>13</f>
        <v>13</v>
      </c>
      <c r="G66" s="25"/>
      <c r="H66" s="21"/>
      <c r="I66" s="22"/>
      <c r="J66" s="22"/>
      <c r="K66" s="23">
        <v>3.14</v>
      </c>
      <c r="L66" s="23">
        <f t="shared" si="1"/>
        <v>40.82</v>
      </c>
      <c r="M66" s="24"/>
      <c r="N66" s="24"/>
    </row>
    <row r="67" spans="1:14" ht="31.5">
      <c r="A67" s="9" t="s">
        <v>167</v>
      </c>
      <c r="B67" s="15">
        <v>100</v>
      </c>
      <c r="C67" s="13">
        <f>Fevereiro2016!C67-(F67)</f>
        <v>40</v>
      </c>
      <c r="D67" s="10" t="s">
        <v>63</v>
      </c>
      <c r="E67" s="11" t="s">
        <v>98</v>
      </c>
      <c r="F67" s="18">
        <f>13</f>
        <v>13</v>
      </c>
      <c r="G67" s="25"/>
      <c r="H67" s="21"/>
      <c r="I67" s="22"/>
      <c r="J67" s="22"/>
      <c r="K67" s="23">
        <v>3.53</v>
      </c>
      <c r="L67" s="23">
        <f t="shared" si="1"/>
        <v>45.89</v>
      </c>
      <c r="M67" s="24"/>
      <c r="N67" s="24"/>
    </row>
    <row r="68" spans="1:14" ht="31.5">
      <c r="A68" s="9" t="s">
        <v>168</v>
      </c>
      <c r="B68" s="15">
        <v>100</v>
      </c>
      <c r="C68" s="13">
        <f>Fevereiro2016!C68-(F68)</f>
        <v>40</v>
      </c>
      <c r="D68" s="10" t="s">
        <v>63</v>
      </c>
      <c r="E68" s="11" t="s">
        <v>99</v>
      </c>
      <c r="F68" s="18">
        <f>13</f>
        <v>13</v>
      </c>
      <c r="G68" s="25"/>
      <c r="H68" s="21"/>
      <c r="I68" s="22"/>
      <c r="J68" s="22"/>
      <c r="K68" s="23">
        <v>3.29</v>
      </c>
      <c r="L68" s="23">
        <f t="shared" si="1"/>
        <v>42.77</v>
      </c>
      <c r="M68" s="24"/>
      <c r="N68" s="24"/>
    </row>
    <row r="69" spans="1:14" ht="31.5">
      <c r="A69" s="9" t="s">
        <v>169</v>
      </c>
      <c r="B69" s="15">
        <v>100</v>
      </c>
      <c r="C69" s="13">
        <f>Fevereiro2016!C69-(F69)</f>
        <v>40</v>
      </c>
      <c r="D69" s="10" t="s">
        <v>63</v>
      </c>
      <c r="E69" s="11" t="s">
        <v>100</v>
      </c>
      <c r="F69" s="18">
        <f>13</f>
        <v>13</v>
      </c>
      <c r="G69" s="25"/>
      <c r="H69" s="21"/>
      <c r="I69" s="22"/>
      <c r="J69" s="22"/>
      <c r="K69" s="23">
        <v>3.29</v>
      </c>
      <c r="L69" s="23">
        <f t="shared" si="1"/>
        <v>42.77</v>
      </c>
      <c r="M69" s="24"/>
      <c r="N69" s="24"/>
    </row>
    <row r="70" spans="1:14" ht="19.5">
      <c r="A70" s="9" t="s">
        <v>170</v>
      </c>
      <c r="B70" s="15">
        <v>120</v>
      </c>
      <c r="C70" s="13">
        <f>Fevereiro2016!C70-(F70)</f>
        <v>36</v>
      </c>
      <c r="D70" s="10" t="s">
        <v>44</v>
      </c>
      <c r="E70" s="11" t="s">
        <v>101</v>
      </c>
      <c r="F70" s="18">
        <f>16</f>
        <v>16</v>
      </c>
      <c r="G70" s="25"/>
      <c r="H70" s="21"/>
      <c r="I70" s="22"/>
      <c r="J70" s="22"/>
      <c r="K70" s="23"/>
      <c r="L70" s="23"/>
      <c r="M70" s="24">
        <v>3.99</v>
      </c>
      <c r="N70" s="24">
        <f t="shared" si="2"/>
        <v>63.84</v>
      </c>
    </row>
    <row r="71" spans="1:14" ht="47.25">
      <c r="A71" s="9" t="s">
        <v>171</v>
      </c>
      <c r="B71" s="15">
        <v>10</v>
      </c>
      <c r="C71" s="13">
        <f>Fevereiro2016!C71-(F71)</f>
        <v>5</v>
      </c>
      <c r="D71" s="10" t="s">
        <v>102</v>
      </c>
      <c r="E71" s="11" t="s">
        <v>103</v>
      </c>
      <c r="F71" s="18">
        <f>1</f>
        <v>1</v>
      </c>
      <c r="G71" s="25"/>
      <c r="H71" s="21"/>
      <c r="I71" s="22"/>
      <c r="J71" s="22"/>
      <c r="K71" s="23">
        <v>13.4</v>
      </c>
      <c r="L71" s="23">
        <f t="shared" si="1"/>
        <v>13.4</v>
      </c>
      <c r="M71" s="24"/>
      <c r="N71" s="24"/>
    </row>
    <row r="72" spans="1:14" ht="19.5">
      <c r="A72" s="9" t="s">
        <v>172</v>
      </c>
      <c r="B72" s="15">
        <v>30</v>
      </c>
      <c r="C72" s="13">
        <f>Fevereiro2016!C72-(F72)</f>
        <v>12</v>
      </c>
      <c r="D72" s="10" t="s">
        <v>102</v>
      </c>
      <c r="E72" s="11" t="s">
        <v>104</v>
      </c>
      <c r="F72" s="20">
        <f>4</f>
        <v>4</v>
      </c>
      <c r="G72" s="25"/>
      <c r="H72" s="21"/>
      <c r="I72" s="22"/>
      <c r="J72" s="22"/>
      <c r="K72" s="23">
        <v>5.7</v>
      </c>
      <c r="L72" s="23">
        <f t="shared" si="1"/>
        <v>22.8</v>
      </c>
      <c r="M72" s="24"/>
      <c r="N72" s="24"/>
    </row>
    <row r="73" spans="1:14" ht="19.5">
      <c r="A73" s="9" t="s">
        <v>173</v>
      </c>
      <c r="B73" s="15">
        <v>200</v>
      </c>
      <c r="C73" s="13">
        <f>Fevereiro2016!C73-(F73)</f>
        <v>60</v>
      </c>
      <c r="D73" s="10" t="s">
        <v>63</v>
      </c>
      <c r="E73" s="11" t="s">
        <v>105</v>
      </c>
      <c r="F73" s="20">
        <f>27</f>
        <v>27</v>
      </c>
      <c r="G73" s="25"/>
      <c r="H73" s="21"/>
      <c r="I73" s="22"/>
      <c r="J73" s="22"/>
      <c r="K73" s="23"/>
      <c r="L73" s="23"/>
      <c r="M73" s="24">
        <v>8.89</v>
      </c>
      <c r="N73" s="24">
        <f t="shared" si="2"/>
        <v>240.03000000000003</v>
      </c>
    </row>
    <row r="74" spans="1:14" ht="47.25">
      <c r="A74" s="9" t="s">
        <v>174</v>
      </c>
      <c r="B74" s="15">
        <v>20</v>
      </c>
      <c r="C74" s="13">
        <f>Fevereiro2016!C74-(F74)</f>
        <v>20</v>
      </c>
      <c r="D74" s="10" t="s">
        <v>44</v>
      </c>
      <c r="E74" s="11" t="s">
        <v>106</v>
      </c>
      <c r="F74" s="20"/>
      <c r="G74" s="25"/>
      <c r="H74" s="21"/>
      <c r="I74" s="22">
        <v>7.58</v>
      </c>
      <c r="J74" s="22">
        <f t="shared" ref="J74" si="4">F74*I74</f>
        <v>0</v>
      </c>
      <c r="K74" s="23"/>
      <c r="L74" s="23"/>
      <c r="M74" s="24"/>
      <c r="N74" s="24"/>
    </row>
    <row r="75" spans="1:14" ht="63">
      <c r="A75" s="9" t="s">
        <v>175</v>
      </c>
      <c r="B75" s="15">
        <v>30</v>
      </c>
      <c r="C75" s="13">
        <f>Fevereiro2016!C75-(F75)</f>
        <v>24</v>
      </c>
      <c r="D75" s="10" t="s">
        <v>44</v>
      </c>
      <c r="E75" s="11" t="s">
        <v>107</v>
      </c>
      <c r="F75" s="19"/>
      <c r="G75" s="25"/>
      <c r="H75" s="21"/>
      <c r="I75" s="22"/>
      <c r="J75" s="22"/>
      <c r="K75" s="23">
        <v>11.4</v>
      </c>
      <c r="L75" s="23">
        <f t="shared" ref="L75:L91" si="5">F75*K75</f>
        <v>0</v>
      </c>
      <c r="M75" s="24"/>
      <c r="N75" s="24"/>
    </row>
    <row r="76" spans="1:14" ht="19.5">
      <c r="A76" s="9" t="s">
        <v>176</v>
      </c>
      <c r="B76" s="15">
        <v>40</v>
      </c>
      <c r="C76" s="13">
        <f>Fevereiro2016!C76-(F76)</f>
        <v>17</v>
      </c>
      <c r="D76" s="10" t="s">
        <v>44</v>
      </c>
      <c r="E76" s="11" t="s">
        <v>108</v>
      </c>
      <c r="F76" s="18">
        <f>5</f>
        <v>5</v>
      </c>
      <c r="G76" s="25"/>
      <c r="H76" s="21"/>
      <c r="I76" s="22"/>
      <c r="J76" s="22"/>
      <c r="K76" s="23">
        <v>2.1800000000000002</v>
      </c>
      <c r="L76" s="23">
        <f t="shared" si="5"/>
        <v>10.9</v>
      </c>
      <c r="M76" s="24"/>
      <c r="N76" s="24"/>
    </row>
    <row r="77" spans="1:14" ht="19.5">
      <c r="A77" s="9" t="s">
        <v>177</v>
      </c>
      <c r="B77" s="15">
        <v>20</v>
      </c>
      <c r="C77" s="13">
        <f>Fevereiro2016!C77-(F77)</f>
        <v>20</v>
      </c>
      <c r="D77" s="10" t="s">
        <v>44</v>
      </c>
      <c r="E77" s="11" t="s">
        <v>109</v>
      </c>
      <c r="F77" s="17"/>
      <c r="G77" s="21">
        <v>3.9</v>
      </c>
      <c r="H77" s="21">
        <f t="shared" ref="H77" si="6">F77*G77</f>
        <v>0</v>
      </c>
      <c r="I77" s="22"/>
      <c r="J77" s="22"/>
      <c r="K77" s="23"/>
      <c r="L77" s="23"/>
      <c r="M77" s="24"/>
      <c r="N77" s="24"/>
    </row>
    <row r="78" spans="1:14" ht="19.5">
      <c r="A78" s="9" t="s">
        <v>178</v>
      </c>
      <c r="B78" s="15">
        <v>20</v>
      </c>
      <c r="C78" s="13">
        <f>Fevereiro2016!C78-(F78)</f>
        <v>11</v>
      </c>
      <c r="D78" s="10" t="s">
        <v>44</v>
      </c>
      <c r="E78" s="11" t="s">
        <v>110</v>
      </c>
      <c r="F78" s="18">
        <f>2</f>
        <v>2</v>
      </c>
      <c r="G78" s="25"/>
      <c r="H78" s="21"/>
      <c r="I78" s="22"/>
      <c r="J78" s="22"/>
      <c r="K78" s="23">
        <v>14.89</v>
      </c>
      <c r="L78" s="23">
        <f t="shared" si="5"/>
        <v>29.78</v>
      </c>
      <c r="M78" s="24"/>
      <c r="N78" s="24"/>
    </row>
    <row r="79" spans="1:14" ht="19.5">
      <c r="A79" s="9" t="s">
        <v>179</v>
      </c>
      <c r="B79" s="15">
        <v>120</v>
      </c>
      <c r="C79" s="13">
        <f>Fevereiro2016!C79-(F79)</f>
        <v>36</v>
      </c>
      <c r="D79" s="10" t="s">
        <v>44</v>
      </c>
      <c r="E79" s="11" t="s">
        <v>111</v>
      </c>
      <c r="F79" s="18">
        <f>16</f>
        <v>16</v>
      </c>
      <c r="G79" s="25"/>
      <c r="H79" s="21"/>
      <c r="I79" s="22"/>
      <c r="J79" s="22"/>
      <c r="K79" s="23"/>
      <c r="L79" s="23"/>
      <c r="M79" s="24">
        <v>3.7</v>
      </c>
      <c r="N79" s="24">
        <f t="shared" ref="N79:N80" si="7">F79*M79</f>
        <v>59.2</v>
      </c>
    </row>
    <row r="80" spans="1:14" ht="19.5">
      <c r="A80" s="9" t="s">
        <v>180</v>
      </c>
      <c r="B80" s="15">
        <v>200</v>
      </c>
      <c r="C80" s="13">
        <f>Fevereiro2016!C80-(F80)</f>
        <v>60</v>
      </c>
      <c r="D80" s="10" t="s">
        <v>39</v>
      </c>
      <c r="E80" s="11" t="s">
        <v>112</v>
      </c>
      <c r="F80" s="18">
        <f>27</f>
        <v>27</v>
      </c>
      <c r="G80" s="25"/>
      <c r="H80" s="21"/>
      <c r="I80" s="22"/>
      <c r="J80" s="22"/>
      <c r="K80" s="23"/>
      <c r="L80" s="23"/>
      <c r="M80" s="24">
        <v>6.34</v>
      </c>
      <c r="N80" s="24">
        <f t="shared" si="7"/>
        <v>171.18</v>
      </c>
    </row>
    <row r="81" spans="1:14" ht="19.5">
      <c r="A81" s="9" t="s">
        <v>181</v>
      </c>
      <c r="B81" s="15">
        <v>200</v>
      </c>
      <c r="C81" s="13">
        <f>Fevereiro2016!C81-(F81)</f>
        <v>76</v>
      </c>
      <c r="D81" s="10" t="s">
        <v>102</v>
      </c>
      <c r="E81" s="11" t="s">
        <v>113</v>
      </c>
      <c r="F81" s="18">
        <f>27</f>
        <v>27</v>
      </c>
      <c r="G81" s="25"/>
      <c r="H81" s="21"/>
      <c r="I81" s="22"/>
      <c r="J81" s="22"/>
      <c r="K81" s="23">
        <v>1.18</v>
      </c>
      <c r="L81" s="23">
        <f t="shared" si="5"/>
        <v>31.86</v>
      </c>
      <c r="M81" s="24"/>
      <c r="N81" s="24"/>
    </row>
    <row r="82" spans="1:14" ht="19.5">
      <c r="A82" s="9" t="s">
        <v>182</v>
      </c>
      <c r="B82" s="15">
        <v>200</v>
      </c>
      <c r="C82" s="13">
        <f>Fevereiro2016!C82-(F82)</f>
        <v>76</v>
      </c>
      <c r="D82" s="10" t="s">
        <v>63</v>
      </c>
      <c r="E82" s="11" t="s">
        <v>114</v>
      </c>
      <c r="F82" s="19">
        <f>27</f>
        <v>27</v>
      </c>
      <c r="G82" s="25"/>
      <c r="H82" s="21"/>
      <c r="I82" s="22"/>
      <c r="J82" s="22"/>
      <c r="K82" s="23">
        <v>3.6</v>
      </c>
      <c r="L82" s="23">
        <f t="shared" si="5"/>
        <v>97.2</v>
      </c>
      <c r="M82" s="24"/>
      <c r="N82" s="24"/>
    </row>
    <row r="83" spans="1:14" ht="19.5">
      <c r="A83" s="9" t="s">
        <v>183</v>
      </c>
      <c r="B83" s="15">
        <v>200</v>
      </c>
      <c r="C83" s="13">
        <f>Fevereiro2016!C83-(F83)</f>
        <v>76</v>
      </c>
      <c r="D83" s="10" t="s">
        <v>44</v>
      </c>
      <c r="E83" s="11" t="s">
        <v>115</v>
      </c>
      <c r="F83" s="18">
        <f>27</f>
        <v>27</v>
      </c>
      <c r="G83" s="25"/>
      <c r="H83" s="21"/>
      <c r="I83" s="22"/>
      <c r="J83" s="22"/>
      <c r="K83" s="23">
        <v>1.0900000000000001</v>
      </c>
      <c r="L83" s="23">
        <f t="shared" si="5"/>
        <v>29.430000000000003</v>
      </c>
      <c r="M83" s="24"/>
      <c r="N83" s="24"/>
    </row>
    <row r="84" spans="1:14" ht="19.5">
      <c r="A84" s="9" t="s">
        <v>184</v>
      </c>
      <c r="B84" s="15">
        <v>300</v>
      </c>
      <c r="C84" s="13">
        <f>Fevereiro2016!C84-(F84)</f>
        <v>115</v>
      </c>
      <c r="D84" s="10" t="s">
        <v>63</v>
      </c>
      <c r="E84" s="11" t="s">
        <v>116</v>
      </c>
      <c r="F84" s="18">
        <f>40</f>
        <v>40</v>
      </c>
      <c r="G84" s="25"/>
      <c r="H84" s="21"/>
      <c r="I84" s="22"/>
      <c r="J84" s="22"/>
      <c r="K84" s="23">
        <v>1.38</v>
      </c>
      <c r="L84" s="23">
        <f t="shared" si="5"/>
        <v>55.199999999999996</v>
      </c>
      <c r="M84" s="24"/>
      <c r="N84" s="24"/>
    </row>
    <row r="85" spans="1:14" ht="19.5">
      <c r="A85" s="9" t="s">
        <v>185</v>
      </c>
      <c r="B85" s="15">
        <v>100</v>
      </c>
      <c r="C85" s="13">
        <f>Fevereiro2016!C85-(F85)</f>
        <v>40</v>
      </c>
      <c r="D85" s="10" t="s">
        <v>63</v>
      </c>
      <c r="E85" s="11" t="s">
        <v>117</v>
      </c>
      <c r="F85" s="18">
        <f>13</f>
        <v>13</v>
      </c>
      <c r="G85" s="25"/>
      <c r="H85" s="21"/>
      <c r="I85" s="22"/>
      <c r="J85" s="22"/>
      <c r="K85" s="23">
        <v>0.9</v>
      </c>
      <c r="L85" s="23">
        <f t="shared" si="5"/>
        <v>11.700000000000001</v>
      </c>
      <c r="M85" s="24"/>
      <c r="N85" s="24"/>
    </row>
    <row r="86" spans="1:14" ht="19.5">
      <c r="A86" s="9" t="s">
        <v>186</v>
      </c>
      <c r="B86" s="15">
        <v>160</v>
      </c>
      <c r="C86" s="13">
        <f>Fevereiro2016!C86-(F86)</f>
        <v>59</v>
      </c>
      <c r="D86" s="10" t="s">
        <v>44</v>
      </c>
      <c r="E86" s="11" t="s">
        <v>118</v>
      </c>
      <c r="F86" s="18">
        <f>22</f>
        <v>22</v>
      </c>
      <c r="G86" s="25"/>
      <c r="H86" s="21"/>
      <c r="I86" s="22"/>
      <c r="J86" s="22"/>
      <c r="K86" s="23">
        <v>4.87</v>
      </c>
      <c r="L86" s="23">
        <f t="shared" si="5"/>
        <v>107.14</v>
      </c>
      <c r="M86" s="24"/>
      <c r="N86" s="24"/>
    </row>
    <row r="87" spans="1:14" ht="19.5">
      <c r="A87" s="9" t="s">
        <v>187</v>
      </c>
      <c r="B87" s="15">
        <v>100</v>
      </c>
      <c r="C87" s="13">
        <f>Fevereiro2016!C87-(F87)</f>
        <v>40</v>
      </c>
      <c r="D87" s="10" t="s">
        <v>102</v>
      </c>
      <c r="E87" s="11" t="s">
        <v>119</v>
      </c>
      <c r="F87" s="18">
        <f>13</f>
        <v>13</v>
      </c>
      <c r="G87" s="25"/>
      <c r="H87" s="21"/>
      <c r="I87" s="22"/>
      <c r="J87" s="22"/>
      <c r="K87" s="23">
        <v>2.19</v>
      </c>
      <c r="L87" s="23">
        <f t="shared" si="5"/>
        <v>28.47</v>
      </c>
      <c r="M87" s="24"/>
      <c r="N87" s="24"/>
    </row>
    <row r="88" spans="1:14" ht="31.5">
      <c r="A88" s="9" t="s">
        <v>188</v>
      </c>
      <c r="B88" s="16">
        <v>50</v>
      </c>
      <c r="C88" s="13">
        <f>Fevereiro2016!C88-(F88)</f>
        <v>22</v>
      </c>
      <c r="D88" s="10" t="s">
        <v>120</v>
      </c>
      <c r="E88" s="11" t="s">
        <v>121</v>
      </c>
      <c r="F88" s="18">
        <f>6</f>
        <v>6</v>
      </c>
      <c r="G88" s="25"/>
      <c r="H88" s="21"/>
      <c r="I88" s="22"/>
      <c r="J88" s="22"/>
      <c r="K88" s="23">
        <v>4.58</v>
      </c>
      <c r="L88" s="23">
        <f t="shared" si="5"/>
        <v>27.48</v>
      </c>
      <c r="M88" s="24"/>
      <c r="N88" s="24"/>
    </row>
    <row r="89" spans="1:14" ht="19.5">
      <c r="A89" s="9" t="s">
        <v>189</v>
      </c>
      <c r="B89" s="15">
        <v>120</v>
      </c>
      <c r="C89" s="13">
        <f>Fevereiro2016!C89-(F89)</f>
        <v>46</v>
      </c>
      <c r="D89" s="10" t="s">
        <v>44</v>
      </c>
      <c r="E89" s="11" t="s">
        <v>122</v>
      </c>
      <c r="F89" s="20">
        <f>16</f>
        <v>16</v>
      </c>
      <c r="G89" s="25"/>
      <c r="H89" s="21"/>
      <c r="I89" s="22"/>
      <c r="J89" s="22"/>
      <c r="K89" s="23">
        <v>4.6100000000000003</v>
      </c>
      <c r="L89" s="23">
        <f t="shared" si="5"/>
        <v>73.760000000000005</v>
      </c>
      <c r="M89" s="24"/>
      <c r="N89" s="24"/>
    </row>
    <row r="90" spans="1:14" ht="19.5">
      <c r="A90" s="9" t="s">
        <v>190</v>
      </c>
      <c r="B90" s="15">
        <v>120</v>
      </c>
      <c r="C90" s="13">
        <f>Fevereiro2016!C90-(F90)</f>
        <v>46</v>
      </c>
      <c r="D90" s="10" t="s">
        <v>44</v>
      </c>
      <c r="E90" s="11" t="s">
        <v>123</v>
      </c>
      <c r="F90" s="20">
        <f>16</f>
        <v>16</v>
      </c>
      <c r="G90" s="25"/>
      <c r="H90" s="21"/>
      <c r="I90" s="22"/>
      <c r="J90" s="22"/>
      <c r="K90" s="23">
        <v>4.13</v>
      </c>
      <c r="L90" s="23">
        <f t="shared" si="5"/>
        <v>66.08</v>
      </c>
      <c r="M90" s="24"/>
      <c r="N90" s="24"/>
    </row>
    <row r="91" spans="1:14" ht="19.5">
      <c r="A91" s="9" t="s">
        <v>191</v>
      </c>
      <c r="B91" s="15">
        <v>48</v>
      </c>
      <c r="C91" s="13">
        <f>Fevereiro2016!C91-(F91)</f>
        <v>20</v>
      </c>
      <c r="D91" s="10" t="s">
        <v>44</v>
      </c>
      <c r="E91" s="11" t="s">
        <v>124</v>
      </c>
      <c r="F91" s="20">
        <f>6</f>
        <v>6</v>
      </c>
      <c r="G91" s="25"/>
      <c r="H91" s="21"/>
      <c r="I91" s="22"/>
      <c r="J91" s="22"/>
      <c r="K91" s="23">
        <v>4.99</v>
      </c>
      <c r="L91" s="23">
        <f t="shared" si="5"/>
        <v>29.94</v>
      </c>
      <c r="M91" s="24"/>
      <c r="N91" s="24"/>
    </row>
    <row r="92" spans="1:14" ht="20.25">
      <c r="A92" s="43" t="s">
        <v>13</v>
      </c>
      <c r="B92" s="43"/>
      <c r="C92" s="43"/>
      <c r="D92" s="43"/>
      <c r="E92" s="43"/>
      <c r="F92" s="44"/>
      <c r="G92" s="45">
        <f>SUM(H9:H91)</f>
        <v>6170.9800000000014</v>
      </c>
      <c r="H92" s="46"/>
      <c r="I92" s="47">
        <f>SUM(J9:J91)</f>
        <v>5688.119999999999</v>
      </c>
      <c r="J92" s="48"/>
      <c r="K92" s="49">
        <f>SUM(L9:L91)</f>
        <v>5249.1299999999992</v>
      </c>
      <c r="L92" s="50"/>
      <c r="M92" s="51">
        <f>SUM(N9:N91)</f>
        <v>2652.1099999999997</v>
      </c>
      <c r="N92" s="52"/>
    </row>
  </sheetData>
  <mergeCells count="19">
    <mergeCell ref="A2:L2"/>
    <mergeCell ref="A3:L3"/>
    <mergeCell ref="A4:L4"/>
    <mergeCell ref="A5:L5"/>
    <mergeCell ref="A7:A8"/>
    <mergeCell ref="B7:B8"/>
    <mergeCell ref="C7:C8"/>
    <mergeCell ref="D7:D8"/>
    <mergeCell ref="E7:E8"/>
    <mergeCell ref="F7:F8"/>
    <mergeCell ref="G7:H7"/>
    <mergeCell ref="I7:J7"/>
    <mergeCell ref="K7:L7"/>
    <mergeCell ref="M7:N7"/>
    <mergeCell ref="A92:F92"/>
    <mergeCell ref="G92:H92"/>
    <mergeCell ref="I92:J92"/>
    <mergeCell ref="K92:L92"/>
    <mergeCell ref="M92:N92"/>
  </mergeCells>
  <conditionalFormatting sqref="C9:C91">
    <cfRule type="cellIs" dxfId="5" priority="1" operator="lessThan">
      <formula>1</formula>
    </cfRule>
  </conditionalFormatting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N92"/>
  <sheetViews>
    <sheetView zoomScale="80" zoomScaleNormal="80" workbookViewId="0">
      <selection activeCell="M92" sqref="A1:N92"/>
    </sheetView>
  </sheetViews>
  <sheetFormatPr defaultRowHeight="15"/>
  <cols>
    <col min="2" max="2" width="12.7109375" customWidth="1"/>
    <col min="3" max="3" width="13.28515625" customWidth="1"/>
    <col min="5" max="5" width="52.42578125" customWidth="1"/>
    <col min="6" max="6" width="18.28515625" customWidth="1"/>
    <col min="8" max="8" width="15" customWidth="1"/>
    <col min="10" max="10" width="14.140625" customWidth="1"/>
    <col min="12" max="12" width="14.28515625" customWidth="1"/>
    <col min="14" max="14" width="13.85546875" customWidth="1"/>
  </cols>
  <sheetData>
    <row r="1" spans="1:14">
      <c r="A1" s="1"/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1"/>
      <c r="N2" s="1"/>
    </row>
    <row r="3" spans="1:14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1"/>
      <c r="N3" s="1"/>
    </row>
    <row r="4" spans="1:14">
      <c r="A4" s="54" t="s">
        <v>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1"/>
      <c r="N4" s="1"/>
    </row>
    <row r="5" spans="1:14">
      <c r="A5" s="54" t="s">
        <v>125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1"/>
      <c r="N5" s="1"/>
    </row>
    <row r="6" spans="1:14" ht="18.75">
      <c r="A6" s="29"/>
      <c r="B6" s="29"/>
      <c r="C6" s="29"/>
      <c r="D6" s="29"/>
      <c r="E6" s="29"/>
      <c r="F6" s="29"/>
      <c r="G6" s="29"/>
      <c r="H6" s="29"/>
      <c r="I6" s="4"/>
      <c r="J6" s="4"/>
      <c r="K6" s="4"/>
      <c r="L6" s="4"/>
      <c r="M6" s="1"/>
      <c r="N6" s="1"/>
    </row>
    <row r="7" spans="1:14" ht="19.5">
      <c r="A7" s="56" t="s">
        <v>3</v>
      </c>
      <c r="B7" s="56" t="s">
        <v>4</v>
      </c>
      <c r="C7" s="57" t="s">
        <v>5</v>
      </c>
      <c r="D7" s="56" t="s">
        <v>6</v>
      </c>
      <c r="E7" s="56" t="s">
        <v>7</v>
      </c>
      <c r="F7" s="59" t="s">
        <v>8</v>
      </c>
      <c r="G7" s="61" t="s">
        <v>9</v>
      </c>
      <c r="H7" s="61"/>
      <c r="I7" s="62" t="s">
        <v>192</v>
      </c>
      <c r="J7" s="62"/>
      <c r="K7" s="63" t="s">
        <v>10</v>
      </c>
      <c r="L7" s="63"/>
      <c r="M7" s="53" t="s">
        <v>11</v>
      </c>
      <c r="N7" s="53"/>
    </row>
    <row r="8" spans="1:14" ht="19.5">
      <c r="A8" s="56"/>
      <c r="B8" s="56"/>
      <c r="C8" s="58"/>
      <c r="D8" s="56"/>
      <c r="E8" s="56"/>
      <c r="F8" s="60"/>
      <c r="G8" s="5" t="s">
        <v>12</v>
      </c>
      <c r="H8" s="5" t="s">
        <v>13</v>
      </c>
      <c r="I8" s="6" t="s">
        <v>12</v>
      </c>
      <c r="J8" s="6" t="s">
        <v>13</v>
      </c>
      <c r="K8" s="7" t="s">
        <v>12</v>
      </c>
      <c r="L8" s="7" t="s">
        <v>13</v>
      </c>
      <c r="M8" s="8" t="s">
        <v>12</v>
      </c>
      <c r="N8" s="8" t="s">
        <v>13</v>
      </c>
    </row>
    <row r="9" spans="1:14" ht="19.5">
      <c r="A9" s="9" t="s">
        <v>14</v>
      </c>
      <c r="B9" s="15">
        <v>4000</v>
      </c>
      <c r="C9" s="13">
        <f>Maio2016!C9-(F9)</f>
        <v>694</v>
      </c>
      <c r="D9" s="10" t="s">
        <v>15</v>
      </c>
      <c r="E9" s="11" t="s">
        <v>33</v>
      </c>
      <c r="F9" s="17"/>
      <c r="G9" s="21"/>
      <c r="H9" s="21"/>
      <c r="I9" s="22">
        <v>1.94</v>
      </c>
      <c r="J9" s="22">
        <f>F9*I9</f>
        <v>0</v>
      </c>
      <c r="K9" s="23"/>
      <c r="L9" s="23"/>
      <c r="M9" s="24"/>
      <c r="N9" s="24"/>
    </row>
    <row r="10" spans="1:14" ht="31.5">
      <c r="A10" s="9" t="s">
        <v>16</v>
      </c>
      <c r="B10" s="15">
        <v>800</v>
      </c>
      <c r="C10" s="13">
        <f>Maio2016!C10-(F10)</f>
        <v>112</v>
      </c>
      <c r="D10" s="10" t="s">
        <v>15</v>
      </c>
      <c r="E10" s="11" t="s">
        <v>34</v>
      </c>
      <c r="F10" s="18"/>
      <c r="G10" s="25">
        <v>3.71</v>
      </c>
      <c r="H10" s="21">
        <f t="shared" ref="H10:H46" si="0">F10*G10</f>
        <v>0</v>
      </c>
      <c r="I10" s="22"/>
      <c r="J10" s="22"/>
      <c r="K10" s="23"/>
      <c r="L10" s="23"/>
      <c r="M10" s="24"/>
      <c r="N10" s="24"/>
    </row>
    <row r="11" spans="1:14" ht="31.5">
      <c r="A11" s="9" t="s">
        <v>17</v>
      </c>
      <c r="B11" s="15">
        <v>800</v>
      </c>
      <c r="C11" s="13">
        <f>Maio2016!C11-(F11)</f>
        <v>191</v>
      </c>
      <c r="D11" s="10" t="s">
        <v>35</v>
      </c>
      <c r="E11" s="11" t="s">
        <v>36</v>
      </c>
      <c r="F11" s="18"/>
      <c r="G11" s="25"/>
      <c r="H11" s="21"/>
      <c r="I11" s="22"/>
      <c r="J11" s="22"/>
      <c r="K11" s="23">
        <v>2.04</v>
      </c>
      <c r="L11" s="23">
        <f t="shared" ref="L11:L72" si="1">F11*K11</f>
        <v>0</v>
      </c>
      <c r="M11" s="24"/>
      <c r="N11" s="24"/>
    </row>
    <row r="12" spans="1:14" ht="19.5">
      <c r="A12" s="9" t="s">
        <v>18</v>
      </c>
      <c r="B12" s="15">
        <v>60</v>
      </c>
      <c r="C12" s="13">
        <f>Maio2016!C12-(F12)</f>
        <v>14</v>
      </c>
      <c r="D12" s="10" t="s">
        <v>15</v>
      </c>
      <c r="E12" s="11" t="s">
        <v>37</v>
      </c>
      <c r="F12" s="18"/>
      <c r="G12" s="25"/>
      <c r="H12" s="21"/>
      <c r="I12" s="22"/>
      <c r="J12" s="22"/>
      <c r="K12" s="23">
        <v>1.58</v>
      </c>
      <c r="L12" s="23">
        <f t="shared" si="1"/>
        <v>0</v>
      </c>
      <c r="M12" s="24"/>
      <c r="N12" s="24"/>
    </row>
    <row r="13" spans="1:14" ht="19.5">
      <c r="A13" s="9" t="s">
        <v>19</v>
      </c>
      <c r="B13" s="15">
        <v>1200</v>
      </c>
      <c r="C13" s="13">
        <f>Maio2016!C13-(F13)</f>
        <v>134</v>
      </c>
      <c r="D13" s="10" t="s">
        <v>15</v>
      </c>
      <c r="E13" s="11" t="s">
        <v>38</v>
      </c>
      <c r="F13" s="18"/>
      <c r="G13" s="25"/>
      <c r="H13" s="21"/>
      <c r="I13" s="22"/>
      <c r="J13" s="22"/>
      <c r="K13" s="23"/>
      <c r="L13" s="23"/>
      <c r="M13" s="24">
        <v>2.27</v>
      </c>
      <c r="N13" s="24">
        <f t="shared" ref="N13:N73" si="2">F13*M13</f>
        <v>0</v>
      </c>
    </row>
    <row r="14" spans="1:14" ht="31.5">
      <c r="A14" s="9" t="s">
        <v>20</v>
      </c>
      <c r="B14" s="15">
        <v>150</v>
      </c>
      <c r="C14" s="13">
        <f>Maio2016!C14-(F14)</f>
        <v>22</v>
      </c>
      <c r="D14" s="10" t="s">
        <v>39</v>
      </c>
      <c r="E14" s="11" t="s">
        <v>40</v>
      </c>
      <c r="F14" s="19"/>
      <c r="G14" s="25">
        <v>2.46</v>
      </c>
      <c r="H14" s="21">
        <f t="shared" si="0"/>
        <v>0</v>
      </c>
      <c r="I14" s="22"/>
      <c r="J14" s="22"/>
      <c r="K14" s="23"/>
      <c r="L14" s="23"/>
      <c r="M14" s="24"/>
      <c r="N14" s="24"/>
    </row>
    <row r="15" spans="1:14" ht="19.5">
      <c r="A15" s="9" t="s">
        <v>21</v>
      </c>
      <c r="B15" s="15">
        <v>150</v>
      </c>
      <c r="C15" s="13">
        <f>Maio2016!C15-(F15)</f>
        <v>4</v>
      </c>
      <c r="D15" s="10" t="s">
        <v>39</v>
      </c>
      <c r="E15" s="11" t="s">
        <v>41</v>
      </c>
      <c r="F15" s="18"/>
      <c r="G15" s="25"/>
      <c r="H15" s="21"/>
      <c r="I15" s="22"/>
      <c r="J15" s="22"/>
      <c r="K15" s="23">
        <v>2.39</v>
      </c>
      <c r="L15" s="23">
        <f t="shared" si="1"/>
        <v>0</v>
      </c>
      <c r="M15" s="24"/>
      <c r="N15" s="24"/>
    </row>
    <row r="16" spans="1:14" ht="19.5">
      <c r="A16" s="9" t="s">
        <v>22</v>
      </c>
      <c r="B16" s="15">
        <v>1200</v>
      </c>
      <c r="C16" s="13">
        <f>Maio2016!C16-(F16)</f>
        <v>128</v>
      </c>
      <c r="D16" s="10" t="s">
        <v>35</v>
      </c>
      <c r="E16" s="11" t="s">
        <v>42</v>
      </c>
      <c r="F16" s="18"/>
      <c r="G16" s="25">
        <v>3.12</v>
      </c>
      <c r="H16" s="21">
        <f t="shared" si="0"/>
        <v>0</v>
      </c>
      <c r="I16" s="22"/>
      <c r="J16" s="22"/>
      <c r="K16" s="23"/>
      <c r="L16" s="23"/>
      <c r="M16" s="24"/>
      <c r="N16" s="24"/>
    </row>
    <row r="17" spans="1:14" ht="19.5">
      <c r="A17" s="9" t="s">
        <v>23</v>
      </c>
      <c r="B17" s="15">
        <v>1200</v>
      </c>
      <c r="C17" s="13">
        <f>Maio2016!C17-(F17)</f>
        <v>128</v>
      </c>
      <c r="D17" s="10" t="s">
        <v>35</v>
      </c>
      <c r="E17" s="11" t="s">
        <v>43</v>
      </c>
      <c r="F17" s="18"/>
      <c r="G17" s="25">
        <v>3.07</v>
      </c>
      <c r="H17" s="21">
        <f t="shared" si="0"/>
        <v>0</v>
      </c>
      <c r="I17" s="22"/>
      <c r="J17" s="22"/>
      <c r="K17" s="23"/>
      <c r="L17" s="23"/>
      <c r="M17" s="24"/>
      <c r="N17" s="24"/>
    </row>
    <row r="18" spans="1:14" ht="19.5">
      <c r="A18" s="9" t="s">
        <v>24</v>
      </c>
      <c r="B18" s="15">
        <v>400</v>
      </c>
      <c r="C18" s="13">
        <f>Maio2016!C18-(F18)</f>
        <v>50</v>
      </c>
      <c r="D18" s="10" t="s">
        <v>44</v>
      </c>
      <c r="E18" s="11" t="s">
        <v>45</v>
      </c>
      <c r="F18" s="18"/>
      <c r="G18" s="25"/>
      <c r="H18" s="21"/>
      <c r="I18" s="22"/>
      <c r="J18" s="22"/>
      <c r="K18" s="23"/>
      <c r="L18" s="23"/>
      <c r="M18" s="24">
        <v>3.38</v>
      </c>
      <c r="N18" s="24">
        <f t="shared" si="2"/>
        <v>0</v>
      </c>
    </row>
    <row r="19" spans="1:14" ht="19.5">
      <c r="A19" s="9" t="s">
        <v>25</v>
      </c>
      <c r="B19" s="15">
        <v>220</v>
      </c>
      <c r="C19" s="13">
        <f>Maio2016!C19-(F19)</f>
        <v>70</v>
      </c>
      <c r="D19" s="10" t="s">
        <v>46</v>
      </c>
      <c r="E19" s="11" t="s">
        <v>47</v>
      </c>
      <c r="F19" s="18"/>
      <c r="G19" s="25"/>
      <c r="H19" s="21"/>
      <c r="I19" s="22"/>
      <c r="J19" s="22"/>
      <c r="K19" s="23">
        <v>4.03</v>
      </c>
      <c r="L19" s="23">
        <f t="shared" si="1"/>
        <v>0</v>
      </c>
      <c r="M19" s="24"/>
      <c r="N19" s="24"/>
    </row>
    <row r="20" spans="1:14" ht="19.5">
      <c r="A20" s="9" t="s">
        <v>26</v>
      </c>
      <c r="B20" s="15">
        <v>450</v>
      </c>
      <c r="C20" s="13">
        <f>Maio2016!C20-(F20)</f>
        <v>88</v>
      </c>
      <c r="D20" s="10" t="s">
        <v>39</v>
      </c>
      <c r="E20" s="11" t="s">
        <v>48</v>
      </c>
      <c r="F20" s="18"/>
      <c r="G20" s="25"/>
      <c r="H20" s="21"/>
      <c r="I20" s="22">
        <v>12.22</v>
      </c>
      <c r="J20" s="22">
        <f t="shared" ref="J20:J58" si="3">F20*I20</f>
        <v>0</v>
      </c>
      <c r="K20" s="23"/>
      <c r="L20" s="23"/>
      <c r="M20" s="24"/>
      <c r="N20" s="24"/>
    </row>
    <row r="21" spans="1:14" ht="19.5">
      <c r="A21" s="9" t="s">
        <v>28</v>
      </c>
      <c r="B21" s="15">
        <v>300</v>
      </c>
      <c r="C21" s="13">
        <f>Maio2016!C21-(F21)</f>
        <v>73</v>
      </c>
      <c r="D21" s="10" t="s">
        <v>35</v>
      </c>
      <c r="E21" s="11" t="s">
        <v>27</v>
      </c>
      <c r="F21" s="20"/>
      <c r="G21" s="25"/>
      <c r="H21" s="21"/>
      <c r="I21" s="22"/>
      <c r="J21" s="22"/>
      <c r="K21" s="23">
        <v>3.05</v>
      </c>
      <c r="L21" s="23">
        <f t="shared" si="1"/>
        <v>0</v>
      </c>
      <c r="M21" s="24"/>
      <c r="N21" s="24"/>
    </row>
    <row r="22" spans="1:14" ht="19.5">
      <c r="A22" s="9" t="s">
        <v>29</v>
      </c>
      <c r="B22" s="15">
        <v>400</v>
      </c>
      <c r="C22" s="13">
        <f>Maio2016!C22-(F22)</f>
        <v>51</v>
      </c>
      <c r="D22" s="10" t="s">
        <v>35</v>
      </c>
      <c r="E22" s="11" t="s">
        <v>49</v>
      </c>
      <c r="F22" s="20"/>
      <c r="G22" s="25">
        <v>1.64</v>
      </c>
      <c r="H22" s="21">
        <f t="shared" si="0"/>
        <v>0</v>
      </c>
      <c r="I22" s="22"/>
      <c r="J22" s="22"/>
      <c r="K22" s="23"/>
      <c r="L22" s="23"/>
      <c r="M22" s="24"/>
      <c r="N22" s="24"/>
    </row>
    <row r="23" spans="1:14" ht="19.5">
      <c r="A23" s="9" t="s">
        <v>30</v>
      </c>
      <c r="B23" s="15">
        <v>200</v>
      </c>
      <c r="C23" s="13">
        <f>Maio2016!C23-(F23)</f>
        <v>47</v>
      </c>
      <c r="D23" s="10" t="s">
        <v>39</v>
      </c>
      <c r="E23" s="11" t="s">
        <v>50</v>
      </c>
      <c r="F23" s="20"/>
      <c r="G23" s="25"/>
      <c r="H23" s="21"/>
      <c r="I23" s="22"/>
      <c r="J23" s="22"/>
      <c r="K23" s="23">
        <v>1.51</v>
      </c>
      <c r="L23" s="23">
        <f t="shared" si="1"/>
        <v>0</v>
      </c>
      <c r="M23" s="24"/>
      <c r="N23" s="24"/>
    </row>
    <row r="24" spans="1:14" ht="19.5">
      <c r="A24" s="9" t="s">
        <v>31</v>
      </c>
      <c r="B24" s="15">
        <v>800</v>
      </c>
      <c r="C24" s="13">
        <f>Maio2016!C24-(F24)</f>
        <v>100</v>
      </c>
      <c r="D24" s="10" t="s">
        <v>44</v>
      </c>
      <c r="E24" s="11" t="s">
        <v>51</v>
      </c>
      <c r="F24" s="19"/>
      <c r="G24" s="25">
        <v>3.68</v>
      </c>
      <c r="H24" s="21">
        <f t="shared" si="0"/>
        <v>0</v>
      </c>
      <c r="I24" s="22"/>
      <c r="J24" s="22"/>
      <c r="K24" s="23"/>
      <c r="L24" s="23"/>
      <c r="M24" s="24"/>
      <c r="N24" s="24"/>
    </row>
    <row r="25" spans="1:14" ht="19.5">
      <c r="A25" s="9" t="s">
        <v>32</v>
      </c>
      <c r="B25" s="15">
        <v>800</v>
      </c>
      <c r="C25" s="13">
        <f>Maio2016!C25-(F25)</f>
        <v>100</v>
      </c>
      <c r="D25" s="10" t="s">
        <v>44</v>
      </c>
      <c r="E25" s="11" t="s">
        <v>52</v>
      </c>
      <c r="F25" s="18"/>
      <c r="G25" s="25"/>
      <c r="H25" s="21"/>
      <c r="I25" s="22"/>
      <c r="J25" s="22"/>
      <c r="K25" s="23"/>
      <c r="L25" s="23"/>
      <c r="M25" s="24">
        <v>4.75</v>
      </c>
      <c r="N25" s="24">
        <f t="shared" si="2"/>
        <v>0</v>
      </c>
    </row>
    <row r="26" spans="1:14" ht="19.5">
      <c r="A26" s="9" t="s">
        <v>126</v>
      </c>
      <c r="B26" s="15">
        <v>800</v>
      </c>
      <c r="C26" s="13">
        <f>Maio2016!C26-(F26)</f>
        <v>100</v>
      </c>
      <c r="D26" s="10" t="s">
        <v>44</v>
      </c>
      <c r="E26" s="11" t="s">
        <v>53</v>
      </c>
      <c r="F26" s="17"/>
      <c r="G26" s="21">
        <v>5.88</v>
      </c>
      <c r="H26" s="21">
        <f t="shared" si="0"/>
        <v>0</v>
      </c>
      <c r="I26" s="22"/>
      <c r="J26" s="22"/>
      <c r="K26" s="23"/>
      <c r="L26" s="23"/>
      <c r="M26" s="24"/>
      <c r="N26" s="24"/>
    </row>
    <row r="27" spans="1:14" ht="19.5">
      <c r="A27" s="9" t="s">
        <v>127</v>
      </c>
      <c r="B27" s="15">
        <v>400</v>
      </c>
      <c r="C27" s="13">
        <f>Maio2016!C27-(F27)</f>
        <v>208</v>
      </c>
      <c r="D27" s="10" t="s">
        <v>54</v>
      </c>
      <c r="E27" s="11" t="s">
        <v>55</v>
      </c>
      <c r="F27" s="18"/>
      <c r="G27" s="25">
        <v>5.45</v>
      </c>
      <c r="H27" s="21">
        <f t="shared" si="0"/>
        <v>0</v>
      </c>
      <c r="I27" s="22"/>
      <c r="J27" s="22"/>
      <c r="K27" s="23"/>
      <c r="L27" s="23"/>
      <c r="M27" s="24"/>
      <c r="N27" s="24"/>
    </row>
    <row r="28" spans="1:14" ht="19.5">
      <c r="A28" s="9" t="s">
        <v>128</v>
      </c>
      <c r="B28" s="15">
        <v>500</v>
      </c>
      <c r="C28" s="13">
        <f>Maio2016!C28-(F28)</f>
        <v>98</v>
      </c>
      <c r="D28" s="10" t="s">
        <v>39</v>
      </c>
      <c r="E28" s="11" t="s">
        <v>56</v>
      </c>
      <c r="F28" s="18"/>
      <c r="G28" s="25"/>
      <c r="H28" s="21"/>
      <c r="I28" s="22">
        <v>17.57</v>
      </c>
      <c r="J28" s="22">
        <f t="shared" si="3"/>
        <v>0</v>
      </c>
      <c r="K28" s="23"/>
      <c r="L28" s="23"/>
      <c r="M28" s="24"/>
      <c r="N28" s="24"/>
    </row>
    <row r="29" spans="1:14" ht="19.5">
      <c r="A29" s="9" t="s">
        <v>129</v>
      </c>
      <c r="B29" s="15">
        <v>500</v>
      </c>
      <c r="C29" s="13">
        <f>Maio2016!C29-(F29)</f>
        <v>93</v>
      </c>
      <c r="D29" s="10" t="s">
        <v>39</v>
      </c>
      <c r="E29" s="11" t="s">
        <v>57</v>
      </c>
      <c r="F29" s="18"/>
      <c r="G29" s="25">
        <v>11.49</v>
      </c>
      <c r="H29" s="21">
        <f t="shared" si="0"/>
        <v>0</v>
      </c>
      <c r="I29" s="22"/>
      <c r="J29" s="22"/>
      <c r="K29" s="23"/>
      <c r="L29" s="23"/>
      <c r="M29" s="24"/>
      <c r="N29" s="24"/>
    </row>
    <row r="30" spans="1:14" ht="19.5">
      <c r="A30" s="9" t="s">
        <v>130</v>
      </c>
      <c r="B30" s="15">
        <v>500</v>
      </c>
      <c r="C30" s="13">
        <f>Maio2016!C30-(F30)</f>
        <v>116</v>
      </c>
      <c r="D30" s="10" t="s">
        <v>39</v>
      </c>
      <c r="E30" s="11" t="s">
        <v>58</v>
      </c>
      <c r="F30" s="18"/>
      <c r="G30" s="25"/>
      <c r="H30" s="21"/>
      <c r="I30" s="22"/>
      <c r="J30" s="22"/>
      <c r="K30" s="23">
        <v>13.58</v>
      </c>
      <c r="L30" s="23">
        <f t="shared" si="1"/>
        <v>0</v>
      </c>
      <c r="M30" s="24"/>
      <c r="N30" s="24"/>
    </row>
    <row r="31" spans="1:14" ht="19.5">
      <c r="A31" s="9" t="s">
        <v>131</v>
      </c>
      <c r="B31" s="15">
        <v>500</v>
      </c>
      <c r="C31" s="13">
        <f>Maio2016!C31-(F31)</f>
        <v>98</v>
      </c>
      <c r="D31" s="10" t="s">
        <v>39</v>
      </c>
      <c r="E31" s="11" t="s">
        <v>59</v>
      </c>
      <c r="F31" s="19"/>
      <c r="G31" s="25"/>
      <c r="H31" s="21"/>
      <c r="I31" s="22">
        <v>16.89</v>
      </c>
      <c r="J31" s="22">
        <f t="shared" si="3"/>
        <v>0</v>
      </c>
      <c r="K31" s="23"/>
      <c r="L31" s="23"/>
      <c r="M31" s="24"/>
      <c r="N31" s="24"/>
    </row>
    <row r="32" spans="1:14" ht="19.5">
      <c r="A32" s="9" t="s">
        <v>132</v>
      </c>
      <c r="B32" s="15">
        <v>500</v>
      </c>
      <c r="C32" s="13">
        <f>Maio2016!C32-(F32)</f>
        <v>93</v>
      </c>
      <c r="D32" s="10" t="s">
        <v>39</v>
      </c>
      <c r="E32" s="11" t="s">
        <v>60</v>
      </c>
      <c r="F32" s="18"/>
      <c r="G32" s="25">
        <v>9.1199999999999992</v>
      </c>
      <c r="H32" s="21">
        <f t="shared" si="0"/>
        <v>0</v>
      </c>
      <c r="I32" s="22"/>
      <c r="J32" s="22"/>
      <c r="K32" s="23"/>
      <c r="L32" s="23"/>
      <c r="M32" s="24"/>
      <c r="N32" s="24"/>
    </row>
    <row r="33" spans="1:14" ht="19.5">
      <c r="A33" s="9" t="s">
        <v>133</v>
      </c>
      <c r="B33" s="15">
        <v>400</v>
      </c>
      <c r="C33" s="13">
        <f>Maio2016!C33-(F33)</f>
        <v>240</v>
      </c>
      <c r="D33" s="10" t="s">
        <v>54</v>
      </c>
      <c r="E33" s="11" t="s">
        <v>61</v>
      </c>
      <c r="F33" s="18"/>
      <c r="G33" s="25"/>
      <c r="H33" s="21"/>
      <c r="I33" s="22"/>
      <c r="J33" s="22"/>
      <c r="K33" s="23">
        <v>13.25</v>
      </c>
      <c r="L33" s="23">
        <f t="shared" si="1"/>
        <v>0</v>
      </c>
      <c r="M33" s="24"/>
      <c r="N33" s="24"/>
    </row>
    <row r="34" spans="1:14" ht="19.5">
      <c r="A34" s="9" t="s">
        <v>134</v>
      </c>
      <c r="B34" s="15">
        <v>250</v>
      </c>
      <c r="C34" s="13">
        <f>Maio2016!C34-(F34)</f>
        <v>127</v>
      </c>
      <c r="D34" s="10" t="s">
        <v>39</v>
      </c>
      <c r="E34" s="11" t="s">
        <v>62</v>
      </c>
      <c r="F34" s="18"/>
      <c r="G34" s="25"/>
      <c r="H34" s="21"/>
      <c r="I34" s="22"/>
      <c r="J34" s="22"/>
      <c r="K34" s="23"/>
      <c r="L34" s="23"/>
      <c r="M34" s="24">
        <v>13.69</v>
      </c>
      <c r="N34" s="24">
        <f t="shared" si="2"/>
        <v>0</v>
      </c>
    </row>
    <row r="35" spans="1:14" ht="19.5">
      <c r="A35" s="9" t="s">
        <v>135</v>
      </c>
      <c r="B35" s="15">
        <v>150</v>
      </c>
      <c r="C35" s="13">
        <f>Maio2016!C35-(F35)</f>
        <v>34</v>
      </c>
      <c r="D35" s="10" t="s">
        <v>63</v>
      </c>
      <c r="E35" s="11" t="s">
        <v>64</v>
      </c>
      <c r="F35" s="18"/>
      <c r="G35" s="25">
        <v>1.1399999999999999</v>
      </c>
      <c r="H35" s="21">
        <f t="shared" si="0"/>
        <v>0</v>
      </c>
      <c r="I35" s="22"/>
      <c r="J35" s="22"/>
      <c r="K35" s="23"/>
      <c r="L35" s="23"/>
      <c r="M35" s="24"/>
      <c r="N35" s="24"/>
    </row>
    <row r="36" spans="1:14" ht="19.5">
      <c r="A36" s="9" t="s">
        <v>136</v>
      </c>
      <c r="B36" s="15">
        <v>100</v>
      </c>
      <c r="C36" s="13">
        <f>Maio2016!C36-(F36)</f>
        <v>16</v>
      </c>
      <c r="D36" s="10" t="s">
        <v>63</v>
      </c>
      <c r="E36" s="11" t="s">
        <v>65</v>
      </c>
      <c r="F36" s="18"/>
      <c r="G36" s="25">
        <v>4.9000000000000004</v>
      </c>
      <c r="H36" s="21">
        <f t="shared" si="0"/>
        <v>0</v>
      </c>
      <c r="I36" s="22"/>
      <c r="J36" s="22"/>
      <c r="K36" s="23"/>
      <c r="L36" s="23"/>
      <c r="M36" s="24"/>
      <c r="N36" s="24"/>
    </row>
    <row r="37" spans="1:14" ht="31.5">
      <c r="A37" s="9" t="s">
        <v>137</v>
      </c>
      <c r="B37" s="15">
        <v>200</v>
      </c>
      <c r="C37" s="13">
        <f>Maio2016!C37-(F37)</f>
        <v>53</v>
      </c>
      <c r="D37" s="10" t="s">
        <v>39</v>
      </c>
      <c r="E37" s="11" t="s">
        <v>66</v>
      </c>
      <c r="F37" s="18"/>
      <c r="G37" s="25"/>
      <c r="H37" s="21"/>
      <c r="I37" s="22"/>
      <c r="J37" s="22"/>
      <c r="K37" s="23">
        <v>2.98</v>
      </c>
      <c r="L37" s="23">
        <f t="shared" si="1"/>
        <v>0</v>
      </c>
      <c r="M37" s="24"/>
      <c r="N37" s="24"/>
    </row>
    <row r="38" spans="1:14" ht="19.5">
      <c r="A38" s="9" t="s">
        <v>138</v>
      </c>
      <c r="B38" s="15">
        <v>200</v>
      </c>
      <c r="C38" s="13">
        <f>Maio2016!C38-(F38)</f>
        <v>50</v>
      </c>
      <c r="D38" s="10" t="s">
        <v>63</v>
      </c>
      <c r="E38" s="11" t="s">
        <v>67</v>
      </c>
      <c r="F38" s="20"/>
      <c r="G38" s="25">
        <v>0.51</v>
      </c>
      <c r="H38" s="21">
        <f t="shared" si="0"/>
        <v>0</v>
      </c>
      <c r="I38" s="22"/>
      <c r="J38" s="22"/>
      <c r="K38" s="23"/>
      <c r="L38" s="23"/>
      <c r="M38" s="24"/>
      <c r="N38" s="24"/>
    </row>
    <row r="39" spans="1:14" ht="19.5">
      <c r="A39" s="9" t="s">
        <v>139</v>
      </c>
      <c r="B39" s="15">
        <v>100</v>
      </c>
      <c r="C39" s="13">
        <f>Maio2016!C39-(F39)</f>
        <v>84</v>
      </c>
      <c r="D39" s="10" t="s">
        <v>39</v>
      </c>
      <c r="E39" s="11" t="s">
        <v>68</v>
      </c>
      <c r="F39" s="20"/>
      <c r="G39" s="25"/>
      <c r="H39" s="21"/>
      <c r="I39" s="22"/>
      <c r="J39" s="22"/>
      <c r="K39" s="23">
        <v>7.43</v>
      </c>
      <c r="L39" s="23">
        <f t="shared" si="1"/>
        <v>0</v>
      </c>
      <c r="M39" s="24"/>
      <c r="N39" s="24"/>
    </row>
    <row r="40" spans="1:14" ht="31.5">
      <c r="A40" s="9" t="s">
        <v>140</v>
      </c>
      <c r="B40" s="15">
        <v>300</v>
      </c>
      <c r="C40" s="13">
        <f>Maio2016!C40-(F40)</f>
        <v>71</v>
      </c>
      <c r="D40" s="10" t="s">
        <v>63</v>
      </c>
      <c r="E40" s="11" t="s">
        <v>69</v>
      </c>
      <c r="F40" s="20"/>
      <c r="G40" s="25"/>
      <c r="H40" s="21"/>
      <c r="I40" s="22"/>
      <c r="J40" s="22"/>
      <c r="K40" s="23">
        <v>2.87</v>
      </c>
      <c r="L40" s="23">
        <f t="shared" si="1"/>
        <v>0</v>
      </c>
      <c r="M40" s="24"/>
      <c r="N40" s="24"/>
    </row>
    <row r="41" spans="1:14" ht="19.5">
      <c r="A41" s="9" t="s">
        <v>141</v>
      </c>
      <c r="B41" s="15">
        <v>30</v>
      </c>
      <c r="C41" s="13">
        <f>Maio2016!C41-(F41)</f>
        <v>18</v>
      </c>
      <c r="D41" s="10" t="s">
        <v>39</v>
      </c>
      <c r="E41" s="11" t="s">
        <v>70</v>
      </c>
      <c r="F41" s="19"/>
      <c r="G41" s="25">
        <v>7.38</v>
      </c>
      <c r="H41" s="21">
        <f t="shared" si="0"/>
        <v>0</v>
      </c>
      <c r="I41" s="22"/>
      <c r="J41" s="22"/>
      <c r="K41" s="23"/>
      <c r="L41" s="23"/>
      <c r="M41" s="24"/>
      <c r="N41" s="24"/>
    </row>
    <row r="42" spans="1:14" ht="19.5">
      <c r="A42" s="9" t="s">
        <v>142</v>
      </c>
      <c r="B42" s="15">
        <v>100</v>
      </c>
      <c r="C42" s="13">
        <f>Maio2016!C42-(F42)</f>
        <v>48</v>
      </c>
      <c r="D42" s="10" t="s">
        <v>63</v>
      </c>
      <c r="E42" s="11" t="s">
        <v>71</v>
      </c>
      <c r="F42" s="18"/>
      <c r="G42" s="25"/>
      <c r="H42" s="21"/>
      <c r="I42" s="22"/>
      <c r="J42" s="22"/>
      <c r="K42" s="23">
        <v>3.89</v>
      </c>
      <c r="L42" s="23">
        <f t="shared" si="1"/>
        <v>0</v>
      </c>
      <c r="M42" s="24"/>
      <c r="N42" s="24"/>
    </row>
    <row r="43" spans="1:14" ht="19.5">
      <c r="A43" s="9" t="s">
        <v>143</v>
      </c>
      <c r="B43" s="15">
        <v>20</v>
      </c>
      <c r="C43" s="13">
        <f>Maio2016!C43-(F43)</f>
        <v>15</v>
      </c>
      <c r="D43" s="10" t="s">
        <v>39</v>
      </c>
      <c r="E43" s="11" t="s">
        <v>72</v>
      </c>
      <c r="F43" s="17"/>
      <c r="G43" s="21"/>
      <c r="H43" s="21"/>
      <c r="I43" s="22"/>
      <c r="J43" s="22"/>
      <c r="K43" s="23">
        <v>8.1300000000000008</v>
      </c>
      <c r="L43" s="23">
        <f t="shared" si="1"/>
        <v>0</v>
      </c>
      <c r="M43" s="24"/>
      <c r="N43" s="24"/>
    </row>
    <row r="44" spans="1:14" ht="19.5">
      <c r="A44" s="9" t="s">
        <v>144</v>
      </c>
      <c r="B44" s="15">
        <v>400</v>
      </c>
      <c r="C44" s="13">
        <f>Maio2016!C44-(F44)</f>
        <v>68</v>
      </c>
      <c r="D44" s="10" t="s">
        <v>63</v>
      </c>
      <c r="E44" s="11" t="s">
        <v>73</v>
      </c>
      <c r="F44" s="18"/>
      <c r="G44" s="25">
        <v>1.58</v>
      </c>
      <c r="H44" s="21">
        <f t="shared" si="0"/>
        <v>0</v>
      </c>
      <c r="I44" s="22"/>
      <c r="J44" s="22"/>
      <c r="K44" s="23"/>
      <c r="L44" s="23"/>
      <c r="M44" s="24"/>
      <c r="N44" s="24"/>
    </row>
    <row r="45" spans="1:14" ht="19.5">
      <c r="A45" s="9" t="s">
        <v>145</v>
      </c>
      <c r="B45" s="15">
        <v>400</v>
      </c>
      <c r="C45" s="13">
        <f>Maio2016!C45-(F45)</f>
        <v>68</v>
      </c>
      <c r="D45" s="10" t="s">
        <v>63</v>
      </c>
      <c r="E45" s="11" t="s">
        <v>74</v>
      </c>
      <c r="F45" s="18"/>
      <c r="G45" s="25">
        <v>2.54</v>
      </c>
      <c r="H45" s="21">
        <f t="shared" si="0"/>
        <v>0</v>
      </c>
      <c r="I45" s="22"/>
      <c r="J45" s="22"/>
      <c r="K45" s="23"/>
      <c r="L45" s="23"/>
      <c r="M45" s="24"/>
      <c r="N45" s="24"/>
    </row>
    <row r="46" spans="1:14" ht="19.5">
      <c r="A46" s="9" t="s">
        <v>146</v>
      </c>
      <c r="B46" s="15">
        <v>120</v>
      </c>
      <c r="C46" s="13">
        <f>Maio2016!C46-(F46)</f>
        <v>21</v>
      </c>
      <c r="D46" s="10" t="s">
        <v>39</v>
      </c>
      <c r="E46" s="11" t="s">
        <v>75</v>
      </c>
      <c r="F46" s="18"/>
      <c r="G46" s="25">
        <v>4.6399999999999997</v>
      </c>
      <c r="H46" s="21">
        <f t="shared" si="0"/>
        <v>0</v>
      </c>
      <c r="I46" s="22"/>
      <c r="J46" s="22"/>
      <c r="K46" s="23"/>
      <c r="L46" s="23"/>
      <c r="M46" s="24"/>
      <c r="N46" s="24"/>
    </row>
    <row r="47" spans="1:14" ht="31.5">
      <c r="A47" s="9" t="s">
        <v>147</v>
      </c>
      <c r="B47" s="15">
        <v>1200</v>
      </c>
      <c r="C47" s="13">
        <f>Maio2016!C47-(F47)</f>
        <v>262</v>
      </c>
      <c r="D47" s="10" t="s">
        <v>63</v>
      </c>
      <c r="E47" s="11" t="s">
        <v>76</v>
      </c>
      <c r="F47" s="18"/>
      <c r="G47" s="25"/>
      <c r="H47" s="21"/>
      <c r="I47" s="22"/>
      <c r="J47" s="22"/>
      <c r="K47" s="23">
        <v>3.65</v>
      </c>
      <c r="L47" s="23">
        <f t="shared" si="1"/>
        <v>0</v>
      </c>
      <c r="M47" s="24"/>
      <c r="N47" s="24"/>
    </row>
    <row r="48" spans="1:14" ht="19.5">
      <c r="A48" s="9" t="s">
        <v>148</v>
      </c>
      <c r="B48" s="15">
        <v>300</v>
      </c>
      <c r="C48" s="13">
        <f>Maio2016!C48-(F48)</f>
        <v>63</v>
      </c>
      <c r="D48" s="10" t="s">
        <v>39</v>
      </c>
      <c r="E48" s="11" t="s">
        <v>77</v>
      </c>
      <c r="F48" s="19"/>
      <c r="G48" s="25"/>
      <c r="H48" s="21"/>
      <c r="I48" s="22"/>
      <c r="J48" s="22"/>
      <c r="K48" s="23"/>
      <c r="L48" s="23"/>
      <c r="M48" s="24">
        <v>6.49</v>
      </c>
      <c r="N48" s="24">
        <f t="shared" si="2"/>
        <v>0</v>
      </c>
    </row>
    <row r="49" spans="1:14" ht="19.5">
      <c r="A49" s="9" t="s">
        <v>149</v>
      </c>
      <c r="B49" s="15">
        <v>500</v>
      </c>
      <c r="C49" s="13">
        <f>Maio2016!C49-(F49)</f>
        <v>126</v>
      </c>
      <c r="D49" s="10" t="s">
        <v>63</v>
      </c>
      <c r="E49" s="11" t="s">
        <v>78</v>
      </c>
      <c r="F49" s="18"/>
      <c r="G49" s="25"/>
      <c r="H49" s="21"/>
      <c r="I49" s="22">
        <v>0.99</v>
      </c>
      <c r="J49" s="22">
        <f t="shared" si="3"/>
        <v>0</v>
      </c>
      <c r="K49" s="23"/>
      <c r="L49" s="23"/>
      <c r="M49" s="24"/>
      <c r="N49" s="24"/>
    </row>
    <row r="50" spans="1:14" ht="47.25">
      <c r="A50" s="9" t="s">
        <v>150</v>
      </c>
      <c r="B50" s="15">
        <v>500</v>
      </c>
      <c r="C50" s="13">
        <f>Maio2016!C50-(F50)</f>
        <v>102</v>
      </c>
      <c r="D50" s="10" t="s">
        <v>39</v>
      </c>
      <c r="E50" s="11" t="s">
        <v>79</v>
      </c>
      <c r="F50" s="18"/>
      <c r="G50" s="25"/>
      <c r="H50" s="21"/>
      <c r="I50" s="22">
        <v>1.57</v>
      </c>
      <c r="J50" s="22">
        <f t="shared" si="3"/>
        <v>0</v>
      </c>
      <c r="K50" s="23"/>
      <c r="L50" s="23"/>
      <c r="M50" s="24"/>
      <c r="N50" s="24"/>
    </row>
    <row r="51" spans="1:14" ht="63">
      <c r="A51" s="9" t="s">
        <v>151</v>
      </c>
      <c r="B51" s="15">
        <v>36</v>
      </c>
      <c r="C51" s="13">
        <f>Maio2016!C51-(F51)</f>
        <v>13</v>
      </c>
      <c r="D51" s="10" t="s">
        <v>63</v>
      </c>
      <c r="E51" s="11" t="s">
        <v>80</v>
      </c>
      <c r="F51" s="18"/>
      <c r="G51" s="25"/>
      <c r="H51" s="21"/>
      <c r="I51" s="22">
        <v>2.0499999999999998</v>
      </c>
      <c r="J51" s="22">
        <f t="shared" si="3"/>
        <v>0</v>
      </c>
      <c r="K51" s="23"/>
      <c r="L51" s="23"/>
      <c r="M51" s="24"/>
      <c r="N51" s="24"/>
    </row>
    <row r="52" spans="1:14" ht="19.5">
      <c r="A52" s="9" t="s">
        <v>152</v>
      </c>
      <c r="B52" s="15">
        <v>30</v>
      </c>
      <c r="C52" s="13">
        <f>Maio2016!C52-(F52)</f>
        <v>20</v>
      </c>
      <c r="D52" s="10" t="s">
        <v>15</v>
      </c>
      <c r="E52" s="11" t="s">
        <v>81</v>
      </c>
      <c r="F52" s="18"/>
      <c r="G52" s="25"/>
      <c r="H52" s="21"/>
      <c r="I52" s="22"/>
      <c r="J52" s="22"/>
      <c r="K52" s="23">
        <v>15.35</v>
      </c>
      <c r="L52" s="23">
        <f t="shared" si="1"/>
        <v>0</v>
      </c>
      <c r="M52" s="24"/>
      <c r="N52" s="24"/>
    </row>
    <row r="53" spans="1:14" ht="63">
      <c r="A53" s="9" t="s">
        <v>153</v>
      </c>
      <c r="B53" s="15">
        <v>60</v>
      </c>
      <c r="C53" s="13">
        <f>Maio2016!C53-(F53)</f>
        <v>0</v>
      </c>
      <c r="D53" s="10" t="s">
        <v>82</v>
      </c>
      <c r="E53" s="11" t="s">
        <v>83</v>
      </c>
      <c r="F53" s="18"/>
      <c r="G53" s="25"/>
      <c r="H53" s="21"/>
      <c r="I53" s="22"/>
      <c r="J53" s="22"/>
      <c r="K53" s="23">
        <v>17.47</v>
      </c>
      <c r="L53" s="23">
        <f t="shared" si="1"/>
        <v>0</v>
      </c>
      <c r="M53" s="24"/>
      <c r="N53" s="24"/>
    </row>
    <row r="54" spans="1:14" ht="63">
      <c r="A54" s="9" t="s">
        <v>154</v>
      </c>
      <c r="B54" s="15">
        <v>60</v>
      </c>
      <c r="C54" s="13">
        <f>Maio2016!C54-(F54)</f>
        <v>0</v>
      </c>
      <c r="D54" s="10" t="s">
        <v>82</v>
      </c>
      <c r="E54" s="11" t="s">
        <v>84</v>
      </c>
      <c r="F54" s="18"/>
      <c r="G54" s="25"/>
      <c r="H54" s="21"/>
      <c r="I54" s="22"/>
      <c r="J54" s="22"/>
      <c r="K54" s="23">
        <v>17.47</v>
      </c>
      <c r="L54" s="23">
        <f t="shared" si="1"/>
        <v>0</v>
      </c>
      <c r="M54" s="24"/>
      <c r="N54" s="24"/>
    </row>
    <row r="55" spans="1:14" ht="31.5">
      <c r="A55" s="9" t="s">
        <v>155</v>
      </c>
      <c r="B55" s="15">
        <v>300</v>
      </c>
      <c r="C55" s="13">
        <f>Maio2016!C55-(F55)</f>
        <v>175</v>
      </c>
      <c r="D55" s="10" t="s">
        <v>54</v>
      </c>
      <c r="E55" s="11" t="s">
        <v>85</v>
      </c>
      <c r="F55" s="20"/>
      <c r="G55" s="25"/>
      <c r="H55" s="21"/>
      <c r="I55" s="22"/>
      <c r="J55" s="22"/>
      <c r="K55" s="23">
        <v>13.23</v>
      </c>
      <c r="L55" s="23">
        <f t="shared" si="1"/>
        <v>0</v>
      </c>
      <c r="M55" s="24"/>
      <c r="N55" s="24"/>
    </row>
    <row r="56" spans="1:14" ht="47.25">
      <c r="A56" s="9" t="s">
        <v>156</v>
      </c>
      <c r="B56" s="15">
        <v>30</v>
      </c>
      <c r="C56" s="13">
        <f>Maio2016!C56-(F56)</f>
        <v>18</v>
      </c>
      <c r="D56" s="10" t="s">
        <v>39</v>
      </c>
      <c r="E56" s="11" t="s">
        <v>86</v>
      </c>
      <c r="F56" s="20"/>
      <c r="G56" s="25"/>
      <c r="H56" s="21"/>
      <c r="I56" s="22">
        <v>4.3600000000000003</v>
      </c>
      <c r="J56" s="22">
        <f t="shared" si="3"/>
        <v>0</v>
      </c>
      <c r="K56" s="23"/>
      <c r="L56" s="23"/>
      <c r="M56" s="24"/>
      <c r="N56" s="24"/>
    </row>
    <row r="57" spans="1:14" ht="31.5">
      <c r="A57" s="9" t="s">
        <v>157</v>
      </c>
      <c r="B57" s="15">
        <v>30</v>
      </c>
      <c r="C57" s="13">
        <f>Maio2016!C57-(F57)</f>
        <v>20</v>
      </c>
      <c r="D57" s="10" t="s">
        <v>39</v>
      </c>
      <c r="E57" s="11" t="s">
        <v>87</v>
      </c>
      <c r="F57" s="20"/>
      <c r="G57" s="25"/>
      <c r="H57" s="21"/>
      <c r="I57" s="22"/>
      <c r="J57" s="22"/>
      <c r="K57" s="23">
        <v>8.9</v>
      </c>
      <c r="L57" s="23">
        <f t="shared" si="1"/>
        <v>0</v>
      </c>
      <c r="M57" s="24"/>
      <c r="N57" s="24"/>
    </row>
    <row r="58" spans="1:14" ht="19.5">
      <c r="A58" s="9" t="s">
        <v>158</v>
      </c>
      <c r="B58" s="15">
        <v>20</v>
      </c>
      <c r="C58" s="13">
        <f>Maio2016!C58-(F58)</f>
        <v>14</v>
      </c>
      <c r="D58" s="10" t="s">
        <v>15</v>
      </c>
      <c r="E58" s="11" t="s">
        <v>88</v>
      </c>
      <c r="F58" s="19"/>
      <c r="G58" s="25"/>
      <c r="H58" s="21"/>
      <c r="I58" s="22">
        <v>26.99</v>
      </c>
      <c r="J58" s="22">
        <f t="shared" si="3"/>
        <v>0</v>
      </c>
      <c r="K58" s="23"/>
      <c r="L58" s="23"/>
      <c r="M58" s="24"/>
      <c r="N58" s="24"/>
    </row>
    <row r="59" spans="1:14" ht="47.25">
      <c r="A59" s="9" t="s">
        <v>159</v>
      </c>
      <c r="B59" s="15">
        <v>15</v>
      </c>
      <c r="C59" s="13">
        <f>Maio2016!C59-(F59)</f>
        <v>10</v>
      </c>
      <c r="D59" s="10" t="s">
        <v>89</v>
      </c>
      <c r="E59" s="11" t="s">
        <v>90</v>
      </c>
      <c r="F59" s="18"/>
      <c r="G59" s="25"/>
      <c r="H59" s="21"/>
      <c r="I59" s="22"/>
      <c r="J59" s="22"/>
      <c r="K59" s="23">
        <v>129.49</v>
      </c>
      <c r="L59" s="23">
        <f t="shared" si="1"/>
        <v>0</v>
      </c>
      <c r="M59" s="24"/>
      <c r="N59" s="24"/>
    </row>
    <row r="60" spans="1:14" ht="31.5">
      <c r="A60" s="9" t="s">
        <v>160</v>
      </c>
      <c r="B60" s="15">
        <v>80</v>
      </c>
      <c r="C60" s="13">
        <f>Maio2016!C60-(F60)</f>
        <v>30</v>
      </c>
      <c r="D60" s="10" t="s">
        <v>63</v>
      </c>
      <c r="E60" s="12" t="s">
        <v>91</v>
      </c>
      <c r="F60" s="17"/>
      <c r="G60" s="21"/>
      <c r="H60" s="21"/>
      <c r="I60" s="22"/>
      <c r="J60" s="22"/>
      <c r="K60" s="23">
        <v>2.97</v>
      </c>
      <c r="L60" s="23">
        <f t="shared" si="1"/>
        <v>0</v>
      </c>
      <c r="M60" s="24"/>
      <c r="N60" s="24"/>
    </row>
    <row r="61" spans="1:14" ht="31.5">
      <c r="A61" s="9" t="s">
        <v>161</v>
      </c>
      <c r="B61" s="15">
        <v>500</v>
      </c>
      <c r="C61" s="13">
        <f>Maio2016!C61-(F61)</f>
        <v>188</v>
      </c>
      <c r="D61" s="10" t="s">
        <v>63</v>
      </c>
      <c r="E61" s="11" t="s">
        <v>92</v>
      </c>
      <c r="F61" s="18"/>
      <c r="G61" s="25"/>
      <c r="H61" s="21"/>
      <c r="I61" s="22"/>
      <c r="J61" s="22"/>
      <c r="K61" s="23">
        <v>1.33</v>
      </c>
      <c r="L61" s="23">
        <f t="shared" si="1"/>
        <v>0</v>
      </c>
      <c r="M61" s="24"/>
      <c r="N61" s="24"/>
    </row>
    <row r="62" spans="1:14" ht="31.5">
      <c r="A62" s="9" t="s">
        <v>162</v>
      </c>
      <c r="B62" s="15">
        <v>500</v>
      </c>
      <c r="C62" s="13">
        <f>Maio2016!C62-(F62)</f>
        <v>188</v>
      </c>
      <c r="D62" s="10" t="s">
        <v>63</v>
      </c>
      <c r="E62" s="11" t="s">
        <v>93</v>
      </c>
      <c r="F62" s="18"/>
      <c r="G62" s="25"/>
      <c r="H62" s="21"/>
      <c r="I62" s="22"/>
      <c r="J62" s="22"/>
      <c r="K62" s="23">
        <v>1.78</v>
      </c>
      <c r="L62" s="23">
        <f t="shared" si="1"/>
        <v>0</v>
      </c>
      <c r="M62" s="24"/>
      <c r="N62" s="24"/>
    </row>
    <row r="63" spans="1:14" ht="31.5">
      <c r="A63" s="9" t="s">
        <v>163</v>
      </c>
      <c r="B63" s="15">
        <v>50</v>
      </c>
      <c r="C63" s="13">
        <f>Maio2016!C63-(F63)</f>
        <v>22</v>
      </c>
      <c r="D63" s="10" t="s">
        <v>63</v>
      </c>
      <c r="E63" s="12" t="s">
        <v>94</v>
      </c>
      <c r="F63" s="18"/>
      <c r="G63" s="25"/>
      <c r="H63" s="21"/>
      <c r="I63" s="22"/>
      <c r="J63" s="22"/>
      <c r="K63" s="23">
        <v>3.88</v>
      </c>
      <c r="L63" s="23">
        <f t="shared" si="1"/>
        <v>0</v>
      </c>
      <c r="M63" s="24"/>
      <c r="N63" s="24"/>
    </row>
    <row r="64" spans="1:14" ht="31.5">
      <c r="A64" s="9" t="s">
        <v>164</v>
      </c>
      <c r="B64" s="15">
        <v>600</v>
      </c>
      <c r="C64" s="13">
        <f>Maio2016!C64-(F64)</f>
        <v>222</v>
      </c>
      <c r="D64" s="10" t="s">
        <v>63</v>
      </c>
      <c r="E64" s="11" t="s">
        <v>95</v>
      </c>
      <c r="F64" s="18"/>
      <c r="G64" s="25"/>
      <c r="H64" s="21"/>
      <c r="I64" s="22"/>
      <c r="J64" s="22"/>
      <c r="K64" s="23">
        <v>0.87</v>
      </c>
      <c r="L64" s="23">
        <f t="shared" si="1"/>
        <v>0</v>
      </c>
      <c r="M64" s="24"/>
      <c r="N64" s="24"/>
    </row>
    <row r="65" spans="1:14" ht="31.5">
      <c r="A65" s="9" t="s">
        <v>165</v>
      </c>
      <c r="B65" s="15">
        <v>60</v>
      </c>
      <c r="C65" s="13">
        <f>Maio2016!C65-(F65)</f>
        <v>23</v>
      </c>
      <c r="D65" s="10" t="s">
        <v>63</v>
      </c>
      <c r="E65" s="11" t="s">
        <v>96</v>
      </c>
      <c r="F65" s="19"/>
      <c r="G65" s="25"/>
      <c r="H65" s="21"/>
      <c r="I65" s="22"/>
      <c r="J65" s="22"/>
      <c r="K65" s="23">
        <v>3.09</v>
      </c>
      <c r="L65" s="23">
        <f t="shared" si="1"/>
        <v>0</v>
      </c>
      <c r="M65" s="24"/>
      <c r="N65" s="24"/>
    </row>
    <row r="66" spans="1:14" ht="31.5">
      <c r="A66" s="9" t="s">
        <v>166</v>
      </c>
      <c r="B66" s="15">
        <v>100</v>
      </c>
      <c r="C66" s="13">
        <f>Maio2016!C66-(F66)</f>
        <v>40</v>
      </c>
      <c r="D66" s="10" t="s">
        <v>63</v>
      </c>
      <c r="E66" s="11" t="s">
        <v>97</v>
      </c>
      <c r="F66" s="18"/>
      <c r="G66" s="25"/>
      <c r="H66" s="21"/>
      <c r="I66" s="22"/>
      <c r="J66" s="22"/>
      <c r="K66" s="23">
        <v>3.14</v>
      </c>
      <c r="L66" s="23">
        <f t="shared" si="1"/>
        <v>0</v>
      </c>
      <c r="M66" s="24"/>
      <c r="N66" s="24"/>
    </row>
    <row r="67" spans="1:14" ht="31.5">
      <c r="A67" s="9" t="s">
        <v>167</v>
      </c>
      <c r="B67" s="15">
        <v>100</v>
      </c>
      <c r="C67" s="13">
        <f>Maio2016!C67-(F67)</f>
        <v>40</v>
      </c>
      <c r="D67" s="10" t="s">
        <v>63</v>
      </c>
      <c r="E67" s="11" t="s">
        <v>98</v>
      </c>
      <c r="F67" s="18"/>
      <c r="G67" s="25"/>
      <c r="H67" s="21"/>
      <c r="I67" s="22"/>
      <c r="J67" s="22"/>
      <c r="K67" s="23">
        <v>3.53</v>
      </c>
      <c r="L67" s="23">
        <f t="shared" si="1"/>
        <v>0</v>
      </c>
      <c r="M67" s="24"/>
      <c r="N67" s="24"/>
    </row>
    <row r="68" spans="1:14" ht="31.5">
      <c r="A68" s="9" t="s">
        <v>168</v>
      </c>
      <c r="B68" s="15">
        <v>100</v>
      </c>
      <c r="C68" s="13">
        <f>Maio2016!C68-(F68)</f>
        <v>40</v>
      </c>
      <c r="D68" s="10" t="s">
        <v>63</v>
      </c>
      <c r="E68" s="11" t="s">
        <v>99</v>
      </c>
      <c r="F68" s="18"/>
      <c r="G68" s="25"/>
      <c r="H68" s="21"/>
      <c r="I68" s="22"/>
      <c r="J68" s="22"/>
      <c r="K68" s="23">
        <v>3.29</v>
      </c>
      <c r="L68" s="23">
        <f t="shared" si="1"/>
        <v>0</v>
      </c>
      <c r="M68" s="24"/>
      <c r="N68" s="24"/>
    </row>
    <row r="69" spans="1:14" ht="31.5">
      <c r="A69" s="9" t="s">
        <v>169</v>
      </c>
      <c r="B69" s="15">
        <v>100</v>
      </c>
      <c r="C69" s="13">
        <f>Maio2016!C69-(F69)</f>
        <v>40</v>
      </c>
      <c r="D69" s="10" t="s">
        <v>63</v>
      </c>
      <c r="E69" s="11" t="s">
        <v>100</v>
      </c>
      <c r="F69" s="18"/>
      <c r="G69" s="25"/>
      <c r="H69" s="21"/>
      <c r="I69" s="22"/>
      <c r="J69" s="22"/>
      <c r="K69" s="23">
        <v>3.29</v>
      </c>
      <c r="L69" s="23">
        <f t="shared" si="1"/>
        <v>0</v>
      </c>
      <c r="M69" s="24"/>
      <c r="N69" s="24"/>
    </row>
    <row r="70" spans="1:14" ht="19.5">
      <c r="A70" s="9" t="s">
        <v>170</v>
      </c>
      <c r="B70" s="15">
        <v>120</v>
      </c>
      <c r="C70" s="13">
        <f>Maio2016!C70-(F70)</f>
        <v>36</v>
      </c>
      <c r="D70" s="10" t="s">
        <v>44</v>
      </c>
      <c r="E70" s="11" t="s">
        <v>101</v>
      </c>
      <c r="F70" s="18"/>
      <c r="G70" s="25"/>
      <c r="H70" s="21"/>
      <c r="I70" s="22"/>
      <c r="J70" s="22"/>
      <c r="K70" s="23"/>
      <c r="L70" s="23"/>
      <c r="M70" s="24">
        <v>3.99</v>
      </c>
      <c r="N70" s="24">
        <f t="shared" si="2"/>
        <v>0</v>
      </c>
    </row>
    <row r="71" spans="1:14" ht="47.25">
      <c r="A71" s="9" t="s">
        <v>171</v>
      </c>
      <c r="B71" s="15">
        <v>10</v>
      </c>
      <c r="C71" s="13">
        <f>Maio2016!C71-(F71)</f>
        <v>5</v>
      </c>
      <c r="D71" s="10" t="s">
        <v>102</v>
      </c>
      <c r="E71" s="11" t="s">
        <v>103</v>
      </c>
      <c r="F71" s="18"/>
      <c r="G71" s="25"/>
      <c r="H71" s="21"/>
      <c r="I71" s="22"/>
      <c r="J71" s="22"/>
      <c r="K71" s="23">
        <v>13.4</v>
      </c>
      <c r="L71" s="23">
        <f t="shared" si="1"/>
        <v>0</v>
      </c>
      <c r="M71" s="24"/>
      <c r="N71" s="24"/>
    </row>
    <row r="72" spans="1:14" ht="19.5">
      <c r="A72" s="9" t="s">
        <v>172</v>
      </c>
      <c r="B72" s="15">
        <v>30</v>
      </c>
      <c r="C72" s="13">
        <f>Maio2016!C72-(F72)</f>
        <v>12</v>
      </c>
      <c r="D72" s="10" t="s">
        <v>102</v>
      </c>
      <c r="E72" s="11" t="s">
        <v>104</v>
      </c>
      <c r="F72" s="20"/>
      <c r="G72" s="25"/>
      <c r="H72" s="21"/>
      <c r="I72" s="22"/>
      <c r="J72" s="22"/>
      <c r="K72" s="23">
        <v>5.7</v>
      </c>
      <c r="L72" s="23">
        <f t="shared" si="1"/>
        <v>0</v>
      </c>
      <c r="M72" s="24"/>
      <c r="N72" s="24"/>
    </row>
    <row r="73" spans="1:14" ht="19.5">
      <c r="A73" s="9" t="s">
        <v>173</v>
      </c>
      <c r="B73" s="15">
        <v>200</v>
      </c>
      <c r="C73" s="13">
        <f>Maio2016!C73-(F73)</f>
        <v>60</v>
      </c>
      <c r="D73" s="10" t="s">
        <v>63</v>
      </c>
      <c r="E73" s="11" t="s">
        <v>105</v>
      </c>
      <c r="F73" s="20"/>
      <c r="G73" s="25"/>
      <c r="H73" s="21"/>
      <c r="I73" s="22"/>
      <c r="J73" s="22"/>
      <c r="K73" s="23"/>
      <c r="L73" s="23"/>
      <c r="M73" s="24">
        <v>8.89</v>
      </c>
      <c r="N73" s="24">
        <f t="shared" si="2"/>
        <v>0</v>
      </c>
    </row>
    <row r="74" spans="1:14" ht="47.25">
      <c r="A74" s="9" t="s">
        <v>174</v>
      </c>
      <c r="B74" s="15">
        <v>20</v>
      </c>
      <c r="C74" s="13">
        <f>Maio2016!C74-(F74)</f>
        <v>20</v>
      </c>
      <c r="D74" s="10" t="s">
        <v>44</v>
      </c>
      <c r="E74" s="11" t="s">
        <v>106</v>
      </c>
      <c r="F74" s="20"/>
      <c r="G74" s="25"/>
      <c r="H74" s="21"/>
      <c r="I74" s="22">
        <v>7.58</v>
      </c>
      <c r="J74" s="22">
        <f t="shared" ref="J74" si="4">F74*I74</f>
        <v>0</v>
      </c>
      <c r="K74" s="23"/>
      <c r="L74" s="23"/>
      <c r="M74" s="24"/>
      <c r="N74" s="24"/>
    </row>
    <row r="75" spans="1:14" ht="63">
      <c r="A75" s="9" t="s">
        <v>175</v>
      </c>
      <c r="B75" s="15">
        <v>30</v>
      </c>
      <c r="C75" s="13">
        <f>Maio2016!C75-(F75)</f>
        <v>24</v>
      </c>
      <c r="D75" s="10" t="s">
        <v>44</v>
      </c>
      <c r="E75" s="11" t="s">
        <v>107</v>
      </c>
      <c r="F75" s="19"/>
      <c r="G75" s="25"/>
      <c r="H75" s="21"/>
      <c r="I75" s="22"/>
      <c r="J75" s="22"/>
      <c r="K75" s="23">
        <v>11.4</v>
      </c>
      <c r="L75" s="23">
        <f t="shared" ref="L75:L91" si="5">F75*K75</f>
        <v>0</v>
      </c>
      <c r="M75" s="24"/>
      <c r="N75" s="24"/>
    </row>
    <row r="76" spans="1:14" ht="19.5">
      <c r="A76" s="9" t="s">
        <v>176</v>
      </c>
      <c r="B76" s="15">
        <v>40</v>
      </c>
      <c r="C76" s="13">
        <f>Maio2016!C76-(F76)</f>
        <v>17</v>
      </c>
      <c r="D76" s="10" t="s">
        <v>44</v>
      </c>
      <c r="E76" s="11" t="s">
        <v>108</v>
      </c>
      <c r="F76" s="18"/>
      <c r="G76" s="25"/>
      <c r="H76" s="21"/>
      <c r="I76" s="22"/>
      <c r="J76" s="22"/>
      <c r="K76" s="23">
        <v>2.1800000000000002</v>
      </c>
      <c r="L76" s="23">
        <f t="shared" si="5"/>
        <v>0</v>
      </c>
      <c r="M76" s="24"/>
      <c r="N76" s="24"/>
    </row>
    <row r="77" spans="1:14" ht="19.5">
      <c r="A77" s="9" t="s">
        <v>177</v>
      </c>
      <c r="B77" s="15">
        <v>20</v>
      </c>
      <c r="C77" s="13">
        <f>Maio2016!C77-(F77)</f>
        <v>20</v>
      </c>
      <c r="D77" s="10" t="s">
        <v>44</v>
      </c>
      <c r="E77" s="11" t="s">
        <v>109</v>
      </c>
      <c r="F77" s="17"/>
      <c r="G77" s="21">
        <v>3.9</v>
      </c>
      <c r="H77" s="21">
        <f t="shared" ref="H77" si="6">F77*G77</f>
        <v>0</v>
      </c>
      <c r="I77" s="22"/>
      <c r="J77" s="22"/>
      <c r="K77" s="23"/>
      <c r="L77" s="23"/>
      <c r="M77" s="24"/>
      <c r="N77" s="24"/>
    </row>
    <row r="78" spans="1:14" ht="19.5">
      <c r="A78" s="9" t="s">
        <v>178</v>
      </c>
      <c r="B78" s="15">
        <v>20</v>
      </c>
      <c r="C78" s="13">
        <f>Maio2016!C78-(F78)</f>
        <v>11</v>
      </c>
      <c r="D78" s="10" t="s">
        <v>44</v>
      </c>
      <c r="E78" s="11" t="s">
        <v>110</v>
      </c>
      <c r="F78" s="18"/>
      <c r="G78" s="25"/>
      <c r="H78" s="21"/>
      <c r="I78" s="22"/>
      <c r="J78" s="22"/>
      <c r="K78" s="23">
        <v>14.89</v>
      </c>
      <c r="L78" s="23">
        <f t="shared" si="5"/>
        <v>0</v>
      </c>
      <c r="M78" s="24"/>
      <c r="N78" s="24"/>
    </row>
    <row r="79" spans="1:14" ht="19.5">
      <c r="A79" s="9" t="s">
        <v>179</v>
      </c>
      <c r="B79" s="15">
        <v>120</v>
      </c>
      <c r="C79" s="13">
        <f>Maio2016!C79-(F79)</f>
        <v>36</v>
      </c>
      <c r="D79" s="10" t="s">
        <v>44</v>
      </c>
      <c r="E79" s="11" t="s">
        <v>111</v>
      </c>
      <c r="F79" s="18"/>
      <c r="G79" s="25"/>
      <c r="H79" s="21"/>
      <c r="I79" s="22"/>
      <c r="J79" s="22"/>
      <c r="K79" s="23"/>
      <c r="L79" s="23"/>
      <c r="M79" s="24">
        <v>3.7</v>
      </c>
      <c r="N79" s="24">
        <f t="shared" ref="N79:N80" si="7">F79*M79</f>
        <v>0</v>
      </c>
    </row>
    <row r="80" spans="1:14" ht="19.5">
      <c r="A80" s="9" t="s">
        <v>180</v>
      </c>
      <c r="B80" s="15">
        <v>200</v>
      </c>
      <c r="C80" s="13">
        <f>Maio2016!C80-(F80)</f>
        <v>60</v>
      </c>
      <c r="D80" s="10" t="s">
        <v>39</v>
      </c>
      <c r="E80" s="11" t="s">
        <v>112</v>
      </c>
      <c r="F80" s="18"/>
      <c r="G80" s="25"/>
      <c r="H80" s="21"/>
      <c r="I80" s="22"/>
      <c r="J80" s="22"/>
      <c r="K80" s="23"/>
      <c r="L80" s="23"/>
      <c r="M80" s="24">
        <v>6.34</v>
      </c>
      <c r="N80" s="24">
        <f t="shared" si="7"/>
        <v>0</v>
      </c>
    </row>
    <row r="81" spans="1:14" ht="19.5">
      <c r="A81" s="9" t="s">
        <v>181</v>
      </c>
      <c r="B81" s="15">
        <v>200</v>
      </c>
      <c r="C81" s="13">
        <f>Maio2016!C81-(F81)</f>
        <v>76</v>
      </c>
      <c r="D81" s="10" t="s">
        <v>102</v>
      </c>
      <c r="E81" s="11" t="s">
        <v>113</v>
      </c>
      <c r="F81" s="18"/>
      <c r="G81" s="25"/>
      <c r="H81" s="21"/>
      <c r="I81" s="22"/>
      <c r="J81" s="22"/>
      <c r="K81" s="23">
        <v>1.18</v>
      </c>
      <c r="L81" s="23">
        <f t="shared" si="5"/>
        <v>0</v>
      </c>
      <c r="M81" s="24"/>
      <c r="N81" s="24"/>
    </row>
    <row r="82" spans="1:14" ht="19.5">
      <c r="A82" s="9" t="s">
        <v>182</v>
      </c>
      <c r="B82" s="15">
        <v>200</v>
      </c>
      <c r="C82" s="13">
        <f>Maio2016!C82-(F82)</f>
        <v>76</v>
      </c>
      <c r="D82" s="10" t="s">
        <v>63</v>
      </c>
      <c r="E82" s="11" t="s">
        <v>114</v>
      </c>
      <c r="F82" s="19"/>
      <c r="G82" s="25"/>
      <c r="H82" s="21"/>
      <c r="I82" s="22"/>
      <c r="J82" s="22"/>
      <c r="K82" s="23">
        <v>3.6</v>
      </c>
      <c r="L82" s="23">
        <f t="shared" si="5"/>
        <v>0</v>
      </c>
      <c r="M82" s="24"/>
      <c r="N82" s="24"/>
    </row>
    <row r="83" spans="1:14" ht="19.5">
      <c r="A83" s="9" t="s">
        <v>183</v>
      </c>
      <c r="B83" s="15">
        <v>200</v>
      </c>
      <c r="C83" s="13">
        <f>Maio2016!C83-(F83)</f>
        <v>76</v>
      </c>
      <c r="D83" s="10" t="s">
        <v>44</v>
      </c>
      <c r="E83" s="11" t="s">
        <v>115</v>
      </c>
      <c r="F83" s="18"/>
      <c r="G83" s="25"/>
      <c r="H83" s="21"/>
      <c r="I83" s="22"/>
      <c r="J83" s="22"/>
      <c r="K83" s="23">
        <v>1.0900000000000001</v>
      </c>
      <c r="L83" s="23">
        <f t="shared" si="5"/>
        <v>0</v>
      </c>
      <c r="M83" s="24"/>
      <c r="N83" s="24"/>
    </row>
    <row r="84" spans="1:14" ht="19.5">
      <c r="A84" s="9" t="s">
        <v>184</v>
      </c>
      <c r="B84" s="15">
        <v>300</v>
      </c>
      <c r="C84" s="13">
        <f>Maio2016!C84-(F84)</f>
        <v>115</v>
      </c>
      <c r="D84" s="10" t="s">
        <v>63</v>
      </c>
      <c r="E84" s="11" t="s">
        <v>116</v>
      </c>
      <c r="F84" s="18"/>
      <c r="G84" s="25"/>
      <c r="H84" s="21"/>
      <c r="I84" s="22"/>
      <c r="J84" s="22"/>
      <c r="K84" s="23">
        <v>1.38</v>
      </c>
      <c r="L84" s="23">
        <f t="shared" si="5"/>
        <v>0</v>
      </c>
      <c r="M84" s="24"/>
      <c r="N84" s="24"/>
    </row>
    <row r="85" spans="1:14" ht="19.5">
      <c r="A85" s="9" t="s">
        <v>185</v>
      </c>
      <c r="B85" s="15">
        <v>100</v>
      </c>
      <c r="C85" s="13">
        <f>Maio2016!C85-(F85)</f>
        <v>40</v>
      </c>
      <c r="D85" s="10" t="s">
        <v>63</v>
      </c>
      <c r="E85" s="11" t="s">
        <v>117</v>
      </c>
      <c r="F85" s="18"/>
      <c r="G85" s="25"/>
      <c r="H85" s="21"/>
      <c r="I85" s="22"/>
      <c r="J85" s="22"/>
      <c r="K85" s="23">
        <v>0.9</v>
      </c>
      <c r="L85" s="23">
        <f t="shared" si="5"/>
        <v>0</v>
      </c>
      <c r="M85" s="24"/>
      <c r="N85" s="24"/>
    </row>
    <row r="86" spans="1:14" ht="19.5">
      <c r="A86" s="9" t="s">
        <v>186</v>
      </c>
      <c r="B86" s="15">
        <v>160</v>
      </c>
      <c r="C86" s="13">
        <f>Maio2016!C86-(F86)</f>
        <v>59</v>
      </c>
      <c r="D86" s="10" t="s">
        <v>44</v>
      </c>
      <c r="E86" s="11" t="s">
        <v>118</v>
      </c>
      <c r="F86" s="18"/>
      <c r="G86" s="25"/>
      <c r="H86" s="21"/>
      <c r="I86" s="22"/>
      <c r="J86" s="22"/>
      <c r="K86" s="23">
        <v>4.87</v>
      </c>
      <c r="L86" s="23">
        <f t="shared" si="5"/>
        <v>0</v>
      </c>
      <c r="M86" s="24"/>
      <c r="N86" s="24"/>
    </row>
    <row r="87" spans="1:14" ht="19.5">
      <c r="A87" s="9" t="s">
        <v>187</v>
      </c>
      <c r="B87" s="15">
        <v>100</v>
      </c>
      <c r="C87" s="13">
        <f>Maio2016!C87-(F87)</f>
        <v>40</v>
      </c>
      <c r="D87" s="10" t="s">
        <v>102</v>
      </c>
      <c r="E87" s="11" t="s">
        <v>119</v>
      </c>
      <c r="F87" s="18"/>
      <c r="G87" s="25"/>
      <c r="H87" s="21"/>
      <c r="I87" s="22"/>
      <c r="J87" s="22"/>
      <c r="K87" s="23">
        <v>2.19</v>
      </c>
      <c r="L87" s="23">
        <f t="shared" si="5"/>
        <v>0</v>
      </c>
      <c r="M87" s="24"/>
      <c r="N87" s="24"/>
    </row>
    <row r="88" spans="1:14" ht="31.5">
      <c r="A88" s="9" t="s">
        <v>188</v>
      </c>
      <c r="B88" s="16">
        <v>50</v>
      </c>
      <c r="C88" s="13">
        <f>Maio2016!C88-(F88)</f>
        <v>22</v>
      </c>
      <c r="D88" s="10" t="s">
        <v>120</v>
      </c>
      <c r="E88" s="11" t="s">
        <v>121</v>
      </c>
      <c r="F88" s="18"/>
      <c r="G88" s="25"/>
      <c r="H88" s="21"/>
      <c r="I88" s="22"/>
      <c r="J88" s="22"/>
      <c r="K88" s="23">
        <v>4.58</v>
      </c>
      <c r="L88" s="23">
        <f t="shared" si="5"/>
        <v>0</v>
      </c>
      <c r="M88" s="24"/>
      <c r="N88" s="24"/>
    </row>
    <row r="89" spans="1:14" ht="19.5">
      <c r="A89" s="9" t="s">
        <v>189</v>
      </c>
      <c r="B89" s="15">
        <v>120</v>
      </c>
      <c r="C89" s="13">
        <f>Maio2016!C89-(F89)</f>
        <v>46</v>
      </c>
      <c r="D89" s="10" t="s">
        <v>44</v>
      </c>
      <c r="E89" s="11" t="s">
        <v>122</v>
      </c>
      <c r="F89" s="20"/>
      <c r="G89" s="25"/>
      <c r="H89" s="21"/>
      <c r="I89" s="22"/>
      <c r="J89" s="22"/>
      <c r="K89" s="23">
        <v>4.6100000000000003</v>
      </c>
      <c r="L89" s="23">
        <f t="shared" si="5"/>
        <v>0</v>
      </c>
      <c r="M89" s="24"/>
      <c r="N89" s="24"/>
    </row>
    <row r="90" spans="1:14" ht="19.5">
      <c r="A90" s="9" t="s">
        <v>190</v>
      </c>
      <c r="B90" s="15">
        <v>120</v>
      </c>
      <c r="C90" s="13">
        <f>Maio2016!C90-(F90)</f>
        <v>46</v>
      </c>
      <c r="D90" s="10" t="s">
        <v>44</v>
      </c>
      <c r="E90" s="11" t="s">
        <v>123</v>
      </c>
      <c r="F90" s="20"/>
      <c r="G90" s="25"/>
      <c r="H90" s="21"/>
      <c r="I90" s="22"/>
      <c r="J90" s="22"/>
      <c r="K90" s="23">
        <v>4.13</v>
      </c>
      <c r="L90" s="23">
        <f t="shared" si="5"/>
        <v>0</v>
      </c>
      <c r="M90" s="24"/>
      <c r="N90" s="24"/>
    </row>
    <row r="91" spans="1:14" ht="19.5">
      <c r="A91" s="9" t="s">
        <v>191</v>
      </c>
      <c r="B91" s="15">
        <v>48</v>
      </c>
      <c r="C91" s="13">
        <f>Maio2016!C91-(F91)</f>
        <v>20</v>
      </c>
      <c r="D91" s="10" t="s">
        <v>44</v>
      </c>
      <c r="E91" s="11" t="s">
        <v>124</v>
      </c>
      <c r="F91" s="20"/>
      <c r="G91" s="25"/>
      <c r="H91" s="21"/>
      <c r="I91" s="22"/>
      <c r="J91" s="22"/>
      <c r="K91" s="23">
        <v>4.99</v>
      </c>
      <c r="L91" s="23">
        <f t="shared" si="5"/>
        <v>0</v>
      </c>
      <c r="M91" s="24"/>
      <c r="N91" s="24"/>
    </row>
    <row r="92" spans="1:14" ht="20.25">
      <c r="A92" s="43" t="s">
        <v>13</v>
      </c>
      <c r="B92" s="43"/>
      <c r="C92" s="43"/>
      <c r="D92" s="43"/>
      <c r="E92" s="43"/>
      <c r="F92" s="44"/>
      <c r="G92" s="45">
        <f>SUM(H9:H91)</f>
        <v>0</v>
      </c>
      <c r="H92" s="46"/>
      <c r="I92" s="47">
        <f>SUM(J9:J91)</f>
        <v>0</v>
      </c>
      <c r="J92" s="48"/>
      <c r="K92" s="49">
        <f>SUM(L9:L91)</f>
        <v>0</v>
      </c>
      <c r="L92" s="50"/>
      <c r="M92" s="51">
        <f>SUM(N9:N91)</f>
        <v>0</v>
      </c>
      <c r="N92" s="52"/>
    </row>
  </sheetData>
  <mergeCells count="19">
    <mergeCell ref="A2:L2"/>
    <mergeCell ref="A3:L3"/>
    <mergeCell ref="A4:L4"/>
    <mergeCell ref="A5:L5"/>
    <mergeCell ref="A7:A8"/>
    <mergeCell ref="B7:B8"/>
    <mergeCell ref="C7:C8"/>
    <mergeCell ref="D7:D8"/>
    <mergeCell ref="E7:E8"/>
    <mergeCell ref="F7:F8"/>
    <mergeCell ref="G7:H7"/>
    <mergeCell ref="I7:J7"/>
    <mergeCell ref="K7:L7"/>
    <mergeCell ref="M7:N7"/>
    <mergeCell ref="A92:F92"/>
    <mergeCell ref="G92:H92"/>
    <mergeCell ref="I92:J92"/>
    <mergeCell ref="K92:L92"/>
    <mergeCell ref="M92:N92"/>
  </mergeCells>
  <conditionalFormatting sqref="C9:C91">
    <cfRule type="cellIs" dxfId="4" priority="1" operator="lessThan">
      <formula>1</formula>
    </cfRule>
  </conditionalFormatting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00"/>
  <sheetViews>
    <sheetView zoomScale="115" zoomScaleNormal="115" workbookViewId="0">
      <selection sqref="A1:XFD1048576"/>
    </sheetView>
  </sheetViews>
  <sheetFormatPr defaultRowHeight="15"/>
  <cols>
    <col min="2" max="2" width="12.7109375" customWidth="1"/>
    <col min="3" max="3" width="13.28515625" customWidth="1"/>
    <col min="5" max="5" width="52.42578125" customWidth="1"/>
    <col min="6" max="6" width="18.28515625" customWidth="1"/>
    <col min="7" max="7" width="8" bestFit="1" customWidth="1"/>
    <col min="8" max="8" width="10.140625" bestFit="1" customWidth="1"/>
    <col min="9" max="9" width="10.140625" customWidth="1"/>
    <col min="10" max="10" width="14.140625" customWidth="1"/>
  </cols>
  <sheetData>
    <row r="1" spans="1:10">
      <c r="A1" s="1"/>
      <c r="B1" s="2"/>
      <c r="C1" s="2"/>
      <c r="D1" s="1"/>
      <c r="E1" s="1"/>
      <c r="F1" s="1"/>
      <c r="G1" s="1"/>
      <c r="H1" s="1"/>
      <c r="I1" s="1"/>
      <c r="J1" s="1"/>
    </row>
    <row r="2" spans="1:10" ht="15" customHeight="1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ht="15" customHeight="1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</row>
    <row r="4" spans="1:10" ht="15" customHeight="1">
      <c r="A4" s="54" t="s">
        <v>2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ht="15" customHeight="1">
      <c r="A5" s="54" t="s">
        <v>125</v>
      </c>
      <c r="B5" s="54"/>
      <c r="C5" s="54"/>
      <c r="D5" s="54"/>
      <c r="E5" s="54"/>
      <c r="F5" s="54"/>
      <c r="G5" s="54"/>
      <c r="H5" s="54"/>
      <c r="I5" s="54"/>
      <c r="J5" s="54"/>
    </row>
    <row r="6" spans="1:10" ht="18.75">
      <c r="A6" s="29"/>
      <c r="B6" s="29"/>
      <c r="C6" s="29"/>
      <c r="D6" s="29"/>
      <c r="E6" s="29"/>
      <c r="F6" s="29"/>
      <c r="G6" s="29"/>
      <c r="H6" s="29"/>
      <c r="I6" s="4"/>
      <c r="J6" s="4"/>
    </row>
    <row r="7" spans="1:10" ht="19.5" customHeight="1">
      <c r="A7" s="64" t="s">
        <v>3</v>
      </c>
      <c r="B7" s="64" t="s">
        <v>4</v>
      </c>
      <c r="C7" s="57" t="s">
        <v>5</v>
      </c>
      <c r="D7" s="64" t="s">
        <v>6</v>
      </c>
      <c r="E7" s="64" t="s">
        <v>7</v>
      </c>
      <c r="F7" s="59" t="s">
        <v>8</v>
      </c>
      <c r="G7" s="67" t="s">
        <v>193</v>
      </c>
      <c r="H7" s="68"/>
      <c r="I7" s="69" t="s">
        <v>194</v>
      </c>
      <c r="J7" s="70"/>
    </row>
    <row r="8" spans="1:10" ht="19.5">
      <c r="A8" s="65"/>
      <c r="B8" s="65"/>
      <c r="C8" s="58"/>
      <c r="D8" s="65"/>
      <c r="E8" s="65"/>
      <c r="F8" s="66"/>
      <c r="G8" s="5" t="s">
        <v>12</v>
      </c>
      <c r="H8" s="5" t="s">
        <v>13</v>
      </c>
      <c r="I8" s="6" t="s">
        <v>12</v>
      </c>
      <c r="J8" s="6" t="s">
        <v>13</v>
      </c>
    </row>
    <row r="9" spans="1:10" ht="19.5">
      <c r="A9" s="9" t="s">
        <v>14</v>
      </c>
      <c r="B9" s="15">
        <v>20000</v>
      </c>
      <c r="C9" s="13">
        <f>B9-F9</f>
        <v>20000</v>
      </c>
      <c r="D9" s="10" t="s">
        <v>15</v>
      </c>
      <c r="E9" s="30" t="s">
        <v>33</v>
      </c>
      <c r="F9" s="17"/>
      <c r="G9" s="21"/>
      <c r="H9" s="21"/>
      <c r="I9" s="22">
        <v>4.3</v>
      </c>
      <c r="J9" s="22">
        <f>F9*I9</f>
        <v>0</v>
      </c>
    </row>
    <row r="10" spans="1:10" ht="19.5">
      <c r="A10" s="9" t="s">
        <v>16</v>
      </c>
      <c r="B10" s="15">
        <v>2000</v>
      </c>
      <c r="C10" s="13">
        <f t="shared" ref="C10:C73" si="0">B10-F10</f>
        <v>2000</v>
      </c>
      <c r="D10" s="10" t="s">
        <v>15</v>
      </c>
      <c r="E10" s="30" t="s">
        <v>34</v>
      </c>
      <c r="F10" s="18"/>
      <c r="G10" s="25"/>
      <c r="H10" s="21"/>
      <c r="I10" s="22">
        <v>8.18</v>
      </c>
      <c r="J10" s="22">
        <f t="shared" ref="J10:J26" si="1">F10*I10</f>
        <v>0</v>
      </c>
    </row>
    <row r="11" spans="1:10" ht="31.5">
      <c r="A11" s="9" t="s">
        <v>17</v>
      </c>
      <c r="B11" s="15">
        <v>2000</v>
      </c>
      <c r="C11" s="13">
        <f t="shared" si="0"/>
        <v>2000</v>
      </c>
      <c r="D11" s="10" t="s">
        <v>35</v>
      </c>
      <c r="E11" s="30" t="s">
        <v>36</v>
      </c>
      <c r="F11" s="18"/>
      <c r="G11" s="25"/>
      <c r="H11" s="21"/>
      <c r="I11" s="22">
        <v>3.2</v>
      </c>
      <c r="J11" s="22">
        <f t="shared" si="1"/>
        <v>0</v>
      </c>
    </row>
    <row r="12" spans="1:10" ht="19.5">
      <c r="A12" s="9" t="s">
        <v>18</v>
      </c>
      <c r="B12" s="15">
        <v>200</v>
      </c>
      <c r="C12" s="13">
        <f t="shared" si="0"/>
        <v>200</v>
      </c>
      <c r="D12" s="10" t="s">
        <v>15</v>
      </c>
      <c r="E12" s="30" t="s">
        <v>37</v>
      </c>
      <c r="F12" s="18"/>
      <c r="G12" s="25"/>
      <c r="H12" s="21"/>
      <c r="I12" s="22">
        <v>1.5</v>
      </c>
      <c r="J12" s="22">
        <f t="shared" si="1"/>
        <v>0</v>
      </c>
    </row>
    <row r="13" spans="1:10" ht="19.5">
      <c r="A13" s="9" t="s">
        <v>19</v>
      </c>
      <c r="B13" s="15">
        <v>2000</v>
      </c>
      <c r="C13" s="13">
        <f t="shared" si="0"/>
        <v>2000</v>
      </c>
      <c r="D13" s="10" t="s">
        <v>15</v>
      </c>
      <c r="E13" s="30" t="s">
        <v>38</v>
      </c>
      <c r="F13" s="18"/>
      <c r="G13" s="25"/>
      <c r="H13" s="21"/>
      <c r="I13" s="22">
        <v>4.5</v>
      </c>
      <c r="J13" s="22">
        <f t="shared" si="1"/>
        <v>0</v>
      </c>
    </row>
    <row r="14" spans="1:10" ht="31.5">
      <c r="A14" s="9" t="s">
        <v>20</v>
      </c>
      <c r="B14" s="15">
        <v>500</v>
      </c>
      <c r="C14" s="13">
        <f t="shared" si="0"/>
        <v>500</v>
      </c>
      <c r="D14" s="10" t="s">
        <v>39</v>
      </c>
      <c r="E14" s="30" t="s">
        <v>40</v>
      </c>
      <c r="F14" s="19"/>
      <c r="G14" s="25"/>
      <c r="H14" s="21"/>
      <c r="I14" s="22">
        <v>5</v>
      </c>
      <c r="J14" s="22">
        <f t="shared" si="1"/>
        <v>0</v>
      </c>
    </row>
    <row r="15" spans="1:10" ht="19.5">
      <c r="A15" s="9" t="s">
        <v>21</v>
      </c>
      <c r="B15" s="15">
        <v>500</v>
      </c>
      <c r="C15" s="13">
        <f t="shared" si="0"/>
        <v>500</v>
      </c>
      <c r="D15" s="10" t="s">
        <v>39</v>
      </c>
      <c r="E15" s="30" t="s">
        <v>41</v>
      </c>
      <c r="F15" s="18"/>
      <c r="G15" s="25"/>
      <c r="H15" s="21"/>
      <c r="I15" s="22">
        <v>3.7</v>
      </c>
      <c r="J15" s="22">
        <f t="shared" si="1"/>
        <v>0</v>
      </c>
    </row>
    <row r="16" spans="1:10" ht="19.5">
      <c r="A16" s="9" t="s">
        <v>22</v>
      </c>
      <c r="B16" s="15">
        <v>4000</v>
      </c>
      <c r="C16" s="13">
        <f t="shared" si="0"/>
        <v>4000</v>
      </c>
      <c r="D16" s="10" t="s">
        <v>35</v>
      </c>
      <c r="E16" s="30" t="s">
        <v>42</v>
      </c>
      <c r="F16" s="18"/>
      <c r="G16" s="25"/>
      <c r="H16" s="21"/>
      <c r="I16" s="22">
        <v>6</v>
      </c>
      <c r="J16" s="22">
        <f t="shared" si="1"/>
        <v>0</v>
      </c>
    </row>
    <row r="17" spans="1:10" ht="19.5">
      <c r="A17" s="9" t="s">
        <v>23</v>
      </c>
      <c r="B17" s="15">
        <v>4000</v>
      </c>
      <c r="C17" s="13">
        <f t="shared" si="0"/>
        <v>4000</v>
      </c>
      <c r="D17" s="10" t="s">
        <v>35</v>
      </c>
      <c r="E17" s="30" t="s">
        <v>43</v>
      </c>
      <c r="F17" s="18"/>
      <c r="G17" s="25"/>
      <c r="H17" s="21"/>
      <c r="I17" s="22">
        <v>6</v>
      </c>
      <c r="J17" s="22">
        <f t="shared" si="1"/>
        <v>0</v>
      </c>
    </row>
    <row r="18" spans="1:10" ht="19.5">
      <c r="A18" s="9" t="s">
        <v>24</v>
      </c>
      <c r="B18" s="15">
        <v>1000</v>
      </c>
      <c r="C18" s="13">
        <f t="shared" si="0"/>
        <v>1000</v>
      </c>
      <c r="D18" s="10" t="s">
        <v>44</v>
      </c>
      <c r="E18" s="30" t="s">
        <v>45</v>
      </c>
      <c r="F18" s="18"/>
      <c r="G18" s="25"/>
      <c r="H18" s="21"/>
      <c r="I18" s="22">
        <v>7</v>
      </c>
      <c r="J18" s="22">
        <f t="shared" si="1"/>
        <v>0</v>
      </c>
    </row>
    <row r="19" spans="1:10" ht="19.5">
      <c r="A19" s="9" t="s">
        <v>25</v>
      </c>
      <c r="B19" s="15">
        <v>500</v>
      </c>
      <c r="C19" s="13">
        <f t="shared" si="0"/>
        <v>500</v>
      </c>
      <c r="D19" s="10" t="s">
        <v>46</v>
      </c>
      <c r="E19" s="30" t="s">
        <v>47</v>
      </c>
      <c r="F19" s="18"/>
      <c r="G19" s="25">
        <v>8</v>
      </c>
      <c r="H19" s="21">
        <f t="shared" ref="H19:H35" si="2">F19*G19</f>
        <v>0</v>
      </c>
      <c r="I19" s="22"/>
      <c r="J19" s="22"/>
    </row>
    <row r="20" spans="1:10" ht="19.5">
      <c r="A20" s="9" t="s">
        <v>26</v>
      </c>
      <c r="B20" s="15">
        <v>4000</v>
      </c>
      <c r="C20" s="13">
        <f t="shared" si="0"/>
        <v>4000</v>
      </c>
      <c r="D20" s="10" t="s">
        <v>39</v>
      </c>
      <c r="E20" s="30" t="s">
        <v>48</v>
      </c>
      <c r="F20" s="18"/>
      <c r="G20" s="25">
        <v>20</v>
      </c>
      <c r="H20" s="21">
        <f t="shared" si="2"/>
        <v>0</v>
      </c>
      <c r="I20" s="22"/>
      <c r="J20" s="22"/>
    </row>
    <row r="21" spans="1:10" ht="19.5">
      <c r="A21" s="9" t="s">
        <v>28</v>
      </c>
      <c r="B21" s="15">
        <v>500</v>
      </c>
      <c r="C21" s="13">
        <f t="shared" si="0"/>
        <v>500</v>
      </c>
      <c r="D21" s="10" t="s">
        <v>35</v>
      </c>
      <c r="E21" s="30" t="s">
        <v>27</v>
      </c>
      <c r="F21" s="20"/>
      <c r="G21" s="25"/>
      <c r="H21" s="21"/>
      <c r="I21" s="22">
        <v>6.2</v>
      </c>
      <c r="J21" s="22">
        <f t="shared" si="1"/>
        <v>0</v>
      </c>
    </row>
    <row r="22" spans="1:10" ht="19.5">
      <c r="A22" s="9" t="s">
        <v>29</v>
      </c>
      <c r="B22" s="15">
        <v>2000</v>
      </c>
      <c r="C22" s="13">
        <f t="shared" si="0"/>
        <v>2000</v>
      </c>
      <c r="D22" s="10" t="s">
        <v>35</v>
      </c>
      <c r="E22" s="30" t="s">
        <v>49</v>
      </c>
      <c r="F22" s="20"/>
      <c r="G22" s="25"/>
      <c r="H22" s="21"/>
      <c r="I22" s="22">
        <v>2.5</v>
      </c>
      <c r="J22" s="22">
        <f t="shared" si="1"/>
        <v>0</v>
      </c>
    </row>
    <row r="23" spans="1:10" ht="19.5">
      <c r="A23" s="9" t="s">
        <v>30</v>
      </c>
      <c r="B23" s="15">
        <v>800</v>
      </c>
      <c r="C23" s="13">
        <f t="shared" si="0"/>
        <v>800</v>
      </c>
      <c r="D23" s="10" t="s">
        <v>39</v>
      </c>
      <c r="E23" s="30" t="s">
        <v>50</v>
      </c>
      <c r="F23" s="20"/>
      <c r="G23" s="25"/>
      <c r="H23" s="21"/>
      <c r="I23" s="22">
        <v>3.2</v>
      </c>
      <c r="J23" s="22">
        <f t="shared" si="1"/>
        <v>0</v>
      </c>
    </row>
    <row r="24" spans="1:10" ht="19.5">
      <c r="A24" s="9" t="s">
        <v>31</v>
      </c>
      <c r="B24" s="15">
        <v>2000</v>
      </c>
      <c r="C24" s="13">
        <f t="shared" si="0"/>
        <v>2000</v>
      </c>
      <c r="D24" s="10" t="s">
        <v>44</v>
      </c>
      <c r="E24" s="30" t="s">
        <v>51</v>
      </c>
      <c r="F24" s="19"/>
      <c r="G24" s="25"/>
      <c r="H24" s="21"/>
      <c r="I24" s="22">
        <v>3.8</v>
      </c>
      <c r="J24" s="22">
        <f t="shared" si="1"/>
        <v>0</v>
      </c>
    </row>
    <row r="25" spans="1:10" ht="19.5">
      <c r="A25" s="9" t="s">
        <v>32</v>
      </c>
      <c r="B25" s="15">
        <v>2000</v>
      </c>
      <c r="C25" s="13">
        <f t="shared" si="0"/>
        <v>2000</v>
      </c>
      <c r="D25" s="10" t="s">
        <v>44</v>
      </c>
      <c r="E25" s="30" t="s">
        <v>52</v>
      </c>
      <c r="F25" s="18"/>
      <c r="G25" s="25"/>
      <c r="H25" s="21"/>
      <c r="I25" s="22">
        <v>7</v>
      </c>
      <c r="J25" s="22">
        <f t="shared" si="1"/>
        <v>0</v>
      </c>
    </row>
    <row r="26" spans="1:10" ht="19.5">
      <c r="A26" s="9" t="s">
        <v>126</v>
      </c>
      <c r="B26" s="15">
        <v>2000</v>
      </c>
      <c r="C26" s="13">
        <f t="shared" si="0"/>
        <v>2000</v>
      </c>
      <c r="D26" s="10" t="s">
        <v>44</v>
      </c>
      <c r="E26" s="30" t="s">
        <v>53</v>
      </c>
      <c r="F26" s="17"/>
      <c r="G26" s="21"/>
      <c r="H26" s="21"/>
      <c r="I26" s="22">
        <v>7</v>
      </c>
      <c r="J26" s="22">
        <f t="shared" si="1"/>
        <v>0</v>
      </c>
    </row>
    <row r="27" spans="1:10" ht="19.5">
      <c r="A27" s="9" t="s">
        <v>127</v>
      </c>
      <c r="B27" s="15">
        <v>4000</v>
      </c>
      <c r="C27" s="13">
        <f t="shared" si="0"/>
        <v>4000</v>
      </c>
      <c r="D27" s="10" t="s">
        <v>54</v>
      </c>
      <c r="E27" s="30" t="s">
        <v>55</v>
      </c>
      <c r="F27" s="18"/>
      <c r="G27" s="25">
        <v>10</v>
      </c>
      <c r="H27" s="21">
        <f t="shared" si="2"/>
        <v>0</v>
      </c>
      <c r="I27" s="22"/>
      <c r="J27" s="22"/>
    </row>
    <row r="28" spans="1:10" ht="19.5">
      <c r="A28" s="9" t="s">
        <v>128</v>
      </c>
      <c r="B28" s="15">
        <v>4000</v>
      </c>
      <c r="C28" s="13">
        <f t="shared" si="0"/>
        <v>4000</v>
      </c>
      <c r="D28" s="10" t="s">
        <v>39</v>
      </c>
      <c r="E28" s="30" t="s">
        <v>56</v>
      </c>
      <c r="F28" s="18"/>
      <c r="G28" s="25">
        <v>30</v>
      </c>
      <c r="H28" s="21">
        <f t="shared" si="2"/>
        <v>0</v>
      </c>
      <c r="I28" s="22"/>
      <c r="J28" s="22"/>
    </row>
    <row r="29" spans="1:10" ht="19.5">
      <c r="A29" s="9" t="s">
        <v>129</v>
      </c>
      <c r="B29" s="15">
        <v>4000</v>
      </c>
      <c r="C29" s="13">
        <f t="shared" si="0"/>
        <v>4000</v>
      </c>
      <c r="D29" s="10" t="s">
        <v>39</v>
      </c>
      <c r="E29" s="30" t="s">
        <v>57</v>
      </c>
      <c r="F29" s="18"/>
      <c r="G29" s="25">
        <v>15</v>
      </c>
      <c r="H29" s="21">
        <f t="shared" si="2"/>
        <v>0</v>
      </c>
      <c r="I29" s="22"/>
      <c r="J29" s="22"/>
    </row>
    <row r="30" spans="1:10" ht="19.5">
      <c r="A30" s="9" t="s">
        <v>130</v>
      </c>
      <c r="B30" s="15">
        <v>4000</v>
      </c>
      <c r="C30" s="13">
        <f t="shared" si="0"/>
        <v>4000</v>
      </c>
      <c r="D30" s="10" t="s">
        <v>39</v>
      </c>
      <c r="E30" s="30" t="s">
        <v>58</v>
      </c>
      <c r="F30" s="18"/>
      <c r="G30" s="25">
        <v>21</v>
      </c>
      <c r="H30" s="21">
        <f t="shared" si="2"/>
        <v>0</v>
      </c>
      <c r="I30" s="22"/>
      <c r="J30" s="22"/>
    </row>
    <row r="31" spans="1:10" ht="19.5">
      <c r="A31" s="9" t="s">
        <v>131</v>
      </c>
      <c r="B31" s="15">
        <v>4000</v>
      </c>
      <c r="C31" s="13">
        <f t="shared" si="0"/>
        <v>4000</v>
      </c>
      <c r="D31" s="10" t="s">
        <v>39</v>
      </c>
      <c r="E31" s="30" t="s">
        <v>59</v>
      </c>
      <c r="F31" s="19"/>
      <c r="G31" s="25">
        <v>30</v>
      </c>
      <c r="H31" s="21">
        <f t="shared" si="2"/>
        <v>0</v>
      </c>
      <c r="I31" s="22"/>
      <c r="J31" s="22"/>
    </row>
    <row r="32" spans="1:10" ht="19.5">
      <c r="A32" s="9" t="s">
        <v>132</v>
      </c>
      <c r="B32" s="15">
        <v>120</v>
      </c>
      <c r="C32" s="13">
        <f t="shared" si="0"/>
        <v>120</v>
      </c>
      <c r="D32" s="10" t="s">
        <v>15</v>
      </c>
      <c r="E32" s="30" t="s">
        <v>195</v>
      </c>
      <c r="F32" s="19"/>
      <c r="G32" s="25">
        <v>25</v>
      </c>
      <c r="H32" s="21">
        <f t="shared" si="2"/>
        <v>0</v>
      </c>
      <c r="I32" s="22"/>
      <c r="J32" s="22"/>
    </row>
    <row r="33" spans="1:10" ht="19.5">
      <c r="A33" s="9" t="s">
        <v>133</v>
      </c>
      <c r="B33" s="15">
        <v>120</v>
      </c>
      <c r="C33" s="13">
        <f t="shared" si="0"/>
        <v>120</v>
      </c>
      <c r="D33" s="10" t="s">
        <v>15</v>
      </c>
      <c r="E33" s="30" t="s">
        <v>196</v>
      </c>
      <c r="F33" s="19"/>
      <c r="G33" s="25">
        <v>30</v>
      </c>
      <c r="H33" s="21">
        <f t="shared" si="2"/>
        <v>0</v>
      </c>
      <c r="I33" s="22"/>
      <c r="J33" s="22"/>
    </row>
    <row r="34" spans="1:10" ht="19.5">
      <c r="A34" s="9" t="s">
        <v>134</v>
      </c>
      <c r="B34" s="15">
        <v>400</v>
      </c>
      <c r="C34" s="13">
        <f t="shared" si="0"/>
        <v>400</v>
      </c>
      <c r="D34" s="10" t="s">
        <v>15</v>
      </c>
      <c r="E34" s="30" t="s">
        <v>197</v>
      </c>
      <c r="F34" s="19"/>
      <c r="G34" s="25">
        <v>30</v>
      </c>
      <c r="H34" s="21">
        <f t="shared" si="2"/>
        <v>0</v>
      </c>
      <c r="I34" s="22"/>
      <c r="J34" s="22"/>
    </row>
    <row r="35" spans="1:10" ht="19.5">
      <c r="A35" s="9" t="s">
        <v>135</v>
      </c>
      <c r="B35" s="15">
        <v>120</v>
      </c>
      <c r="C35" s="13">
        <f t="shared" si="0"/>
        <v>120</v>
      </c>
      <c r="D35" s="10" t="s">
        <v>15</v>
      </c>
      <c r="E35" s="30" t="s">
        <v>210</v>
      </c>
      <c r="F35" s="19"/>
      <c r="G35" s="25">
        <v>10</v>
      </c>
      <c r="H35" s="21">
        <f t="shared" si="2"/>
        <v>0</v>
      </c>
      <c r="I35" s="22"/>
      <c r="J35" s="22"/>
    </row>
    <row r="36" spans="1:10" ht="19.5">
      <c r="A36" s="9" t="s">
        <v>136</v>
      </c>
      <c r="B36" s="15">
        <v>4000</v>
      </c>
      <c r="C36" s="13">
        <f t="shared" si="0"/>
        <v>4000</v>
      </c>
      <c r="D36" s="10" t="s">
        <v>39</v>
      </c>
      <c r="E36" s="30" t="s">
        <v>60</v>
      </c>
      <c r="F36" s="18"/>
      <c r="G36" s="25">
        <v>13</v>
      </c>
      <c r="H36" s="21">
        <f t="shared" ref="H36:H37" si="3">F36*G36</f>
        <v>0</v>
      </c>
      <c r="I36" s="22"/>
      <c r="J36" s="22"/>
    </row>
    <row r="37" spans="1:10" ht="19.5">
      <c r="A37" s="9" t="s">
        <v>137</v>
      </c>
      <c r="B37" s="15">
        <v>3000</v>
      </c>
      <c r="C37" s="13">
        <f t="shared" si="0"/>
        <v>3000</v>
      </c>
      <c r="D37" s="10" t="s">
        <v>54</v>
      </c>
      <c r="E37" s="30" t="s">
        <v>61</v>
      </c>
      <c r="F37" s="18"/>
      <c r="G37" s="25">
        <v>28</v>
      </c>
      <c r="H37" s="21">
        <f t="shared" si="3"/>
        <v>0</v>
      </c>
      <c r="I37" s="22"/>
      <c r="J37" s="22"/>
    </row>
    <row r="38" spans="1:10" ht="19.5">
      <c r="A38" s="9" t="s">
        <v>138</v>
      </c>
      <c r="B38" s="15">
        <v>2000</v>
      </c>
      <c r="C38" s="13">
        <f t="shared" si="0"/>
        <v>2000</v>
      </c>
      <c r="D38" s="10" t="s">
        <v>39</v>
      </c>
      <c r="E38" s="30" t="s">
        <v>62</v>
      </c>
      <c r="F38" s="18"/>
      <c r="G38" s="25"/>
      <c r="H38" s="21"/>
      <c r="I38" s="22">
        <v>21</v>
      </c>
      <c r="J38" s="22">
        <f t="shared" ref="J38:J55" si="4">F38*I38</f>
        <v>0</v>
      </c>
    </row>
    <row r="39" spans="1:10" ht="19.5">
      <c r="A39" s="9" t="s">
        <v>139</v>
      </c>
      <c r="B39" s="15">
        <v>400</v>
      </c>
      <c r="C39" s="13">
        <f t="shared" si="0"/>
        <v>400</v>
      </c>
      <c r="D39" s="10" t="s">
        <v>63</v>
      </c>
      <c r="E39" s="30" t="s">
        <v>64</v>
      </c>
      <c r="F39" s="18"/>
      <c r="G39" s="25"/>
      <c r="H39" s="21"/>
      <c r="I39" s="22">
        <v>3</v>
      </c>
      <c r="J39" s="22">
        <f t="shared" si="4"/>
        <v>0</v>
      </c>
    </row>
    <row r="40" spans="1:10" ht="19.5">
      <c r="A40" s="9" t="s">
        <v>140</v>
      </c>
      <c r="B40" s="15">
        <v>400</v>
      </c>
      <c r="C40" s="13">
        <f t="shared" si="0"/>
        <v>400</v>
      </c>
      <c r="D40" s="10" t="s">
        <v>63</v>
      </c>
      <c r="E40" s="30" t="s">
        <v>65</v>
      </c>
      <c r="F40" s="18"/>
      <c r="G40" s="25"/>
      <c r="H40" s="21"/>
      <c r="I40" s="22">
        <v>9</v>
      </c>
      <c r="J40" s="22">
        <f t="shared" si="4"/>
        <v>0</v>
      </c>
    </row>
    <row r="41" spans="1:10" ht="19.5">
      <c r="A41" s="9" t="s">
        <v>142</v>
      </c>
      <c r="B41" s="15">
        <v>4000</v>
      </c>
      <c r="C41" s="13">
        <f t="shared" si="0"/>
        <v>4000</v>
      </c>
      <c r="D41" s="10" t="s">
        <v>199</v>
      </c>
      <c r="E41" s="30" t="s">
        <v>200</v>
      </c>
      <c r="F41" s="18"/>
      <c r="G41" s="25"/>
      <c r="H41" s="21"/>
      <c r="I41" s="22">
        <v>6.99</v>
      </c>
      <c r="J41" s="22">
        <f t="shared" si="4"/>
        <v>0</v>
      </c>
    </row>
    <row r="42" spans="1:10" ht="31.5">
      <c r="A42" s="9" t="s">
        <v>198</v>
      </c>
      <c r="B42" s="15">
        <v>0</v>
      </c>
      <c r="C42" s="13">
        <f t="shared" si="0"/>
        <v>0</v>
      </c>
      <c r="D42" s="10" t="s">
        <v>39</v>
      </c>
      <c r="E42" s="11" t="s">
        <v>66</v>
      </c>
      <c r="F42" s="18"/>
      <c r="G42" s="25"/>
      <c r="H42" s="21"/>
      <c r="I42" s="22"/>
      <c r="J42" s="22"/>
    </row>
    <row r="43" spans="1:10" ht="19.5">
      <c r="A43" s="9" t="s">
        <v>143</v>
      </c>
      <c r="B43" s="15">
        <v>400</v>
      </c>
      <c r="C43" s="13">
        <f t="shared" si="0"/>
        <v>400</v>
      </c>
      <c r="D43" s="10" t="s">
        <v>63</v>
      </c>
      <c r="E43" s="30" t="s">
        <v>67</v>
      </c>
      <c r="F43" s="20"/>
      <c r="G43" s="25"/>
      <c r="H43" s="21"/>
      <c r="I43" s="22">
        <v>2.8</v>
      </c>
      <c r="J43" s="22">
        <f t="shared" si="4"/>
        <v>0</v>
      </c>
    </row>
    <row r="44" spans="1:10" ht="19.5">
      <c r="A44" s="9" t="s">
        <v>144</v>
      </c>
      <c r="B44" s="15">
        <v>1000</v>
      </c>
      <c r="C44" s="13">
        <f t="shared" si="0"/>
        <v>1000</v>
      </c>
      <c r="D44" s="10" t="s">
        <v>39</v>
      </c>
      <c r="E44" s="30" t="s">
        <v>68</v>
      </c>
      <c r="F44" s="20"/>
      <c r="G44" s="25">
        <v>16</v>
      </c>
      <c r="H44" s="21">
        <f t="shared" ref="H44:H68" si="5">F44*G44</f>
        <v>0</v>
      </c>
      <c r="I44" s="22"/>
      <c r="J44" s="22"/>
    </row>
    <row r="45" spans="1:10" ht="19.5">
      <c r="A45" s="9" t="s">
        <v>145</v>
      </c>
      <c r="B45" s="15">
        <v>400</v>
      </c>
      <c r="C45" s="13">
        <f t="shared" si="0"/>
        <v>400</v>
      </c>
      <c r="D45" s="10" t="s">
        <v>63</v>
      </c>
      <c r="E45" s="30" t="s">
        <v>69</v>
      </c>
      <c r="F45" s="20"/>
      <c r="G45" s="25"/>
      <c r="H45" s="21"/>
      <c r="I45" s="22">
        <v>5</v>
      </c>
      <c r="J45" s="22">
        <f t="shared" si="4"/>
        <v>0</v>
      </c>
    </row>
    <row r="46" spans="1:10" ht="19.5">
      <c r="A46" s="9" t="s">
        <v>198</v>
      </c>
      <c r="B46" s="15">
        <v>0</v>
      </c>
      <c r="C46" s="13">
        <f t="shared" si="0"/>
        <v>0</v>
      </c>
      <c r="D46" s="10" t="s">
        <v>39</v>
      </c>
      <c r="E46" s="11" t="s">
        <v>70</v>
      </c>
      <c r="F46" s="19"/>
      <c r="G46" s="25"/>
      <c r="H46" s="21"/>
      <c r="I46" s="22"/>
      <c r="J46" s="22"/>
    </row>
    <row r="47" spans="1:10" ht="19.5">
      <c r="A47" s="9" t="s">
        <v>146</v>
      </c>
      <c r="B47" s="15">
        <v>1000</v>
      </c>
      <c r="C47" s="13">
        <f t="shared" si="0"/>
        <v>1000</v>
      </c>
      <c r="D47" s="10" t="s">
        <v>63</v>
      </c>
      <c r="E47" s="30" t="s">
        <v>71</v>
      </c>
      <c r="F47" s="18"/>
      <c r="G47" s="25"/>
      <c r="H47" s="21"/>
      <c r="I47" s="22">
        <v>5</v>
      </c>
      <c r="J47" s="22">
        <f t="shared" si="4"/>
        <v>0</v>
      </c>
    </row>
    <row r="48" spans="1:10" ht="19.5">
      <c r="A48" s="9" t="s">
        <v>198</v>
      </c>
      <c r="B48" s="15">
        <v>0</v>
      </c>
      <c r="C48" s="13">
        <f t="shared" si="0"/>
        <v>0</v>
      </c>
      <c r="D48" s="10" t="s">
        <v>39</v>
      </c>
      <c r="E48" s="11" t="s">
        <v>72</v>
      </c>
      <c r="F48" s="17"/>
      <c r="G48" s="21"/>
      <c r="H48" s="21"/>
      <c r="I48" s="22"/>
      <c r="J48" s="22"/>
    </row>
    <row r="49" spans="1:10" ht="19.5">
      <c r="A49" s="9" t="s">
        <v>147</v>
      </c>
      <c r="B49" s="15">
        <v>2000</v>
      </c>
      <c r="C49" s="13">
        <f t="shared" si="0"/>
        <v>2000</v>
      </c>
      <c r="D49" s="10" t="s">
        <v>63</v>
      </c>
      <c r="E49" s="30" t="s">
        <v>73</v>
      </c>
      <c r="F49" s="18"/>
      <c r="G49" s="25"/>
      <c r="H49" s="21"/>
      <c r="I49" s="22">
        <v>4.5</v>
      </c>
      <c r="J49" s="22">
        <f t="shared" si="4"/>
        <v>0</v>
      </c>
    </row>
    <row r="50" spans="1:10" ht="19.5">
      <c r="A50" s="9" t="s">
        <v>148</v>
      </c>
      <c r="B50" s="15">
        <v>2000</v>
      </c>
      <c r="C50" s="13">
        <f t="shared" si="0"/>
        <v>2000</v>
      </c>
      <c r="D50" s="10" t="s">
        <v>63</v>
      </c>
      <c r="E50" s="30" t="s">
        <v>74</v>
      </c>
      <c r="F50" s="18"/>
      <c r="G50" s="25"/>
      <c r="H50" s="21"/>
      <c r="I50" s="22">
        <v>5.4</v>
      </c>
      <c r="J50" s="22">
        <f t="shared" si="4"/>
        <v>0</v>
      </c>
    </row>
    <row r="51" spans="1:10" ht="19.5">
      <c r="A51" s="9" t="s">
        <v>149</v>
      </c>
      <c r="B51" s="15">
        <v>1000</v>
      </c>
      <c r="C51" s="13">
        <f t="shared" si="0"/>
        <v>1000</v>
      </c>
      <c r="D51" s="10" t="s">
        <v>39</v>
      </c>
      <c r="E51" s="30" t="s">
        <v>75</v>
      </c>
      <c r="F51" s="18"/>
      <c r="G51" s="25">
        <v>7</v>
      </c>
      <c r="H51" s="21">
        <f t="shared" si="5"/>
        <v>0</v>
      </c>
      <c r="I51" s="22"/>
      <c r="J51" s="22"/>
    </row>
    <row r="52" spans="1:10" ht="31.5">
      <c r="A52" s="9" t="s">
        <v>198</v>
      </c>
      <c r="B52" s="15">
        <v>0</v>
      </c>
      <c r="C52" s="13">
        <f t="shared" si="0"/>
        <v>0</v>
      </c>
      <c r="D52" s="10" t="s">
        <v>63</v>
      </c>
      <c r="E52" s="11" t="s">
        <v>76</v>
      </c>
      <c r="F52" s="18"/>
      <c r="G52" s="25"/>
      <c r="H52" s="21"/>
      <c r="I52" s="22"/>
      <c r="J52" s="22"/>
    </row>
    <row r="53" spans="1:10" ht="19.5">
      <c r="A53" s="9" t="s">
        <v>151</v>
      </c>
      <c r="B53" s="15">
        <v>500</v>
      </c>
      <c r="C53" s="13">
        <f t="shared" si="0"/>
        <v>500</v>
      </c>
      <c r="D53" s="10" t="s">
        <v>39</v>
      </c>
      <c r="E53" s="30" t="s">
        <v>77</v>
      </c>
      <c r="F53" s="19"/>
      <c r="G53" s="25"/>
      <c r="H53" s="21"/>
      <c r="I53" s="22">
        <v>12</v>
      </c>
      <c r="J53" s="22">
        <f t="shared" si="4"/>
        <v>0</v>
      </c>
    </row>
    <row r="54" spans="1:10" ht="19.5">
      <c r="A54" s="9" t="s">
        <v>152</v>
      </c>
      <c r="B54" s="15">
        <v>500</v>
      </c>
      <c r="C54" s="13">
        <f t="shared" si="0"/>
        <v>500</v>
      </c>
      <c r="D54" s="10" t="s">
        <v>63</v>
      </c>
      <c r="E54" s="30" t="s">
        <v>78</v>
      </c>
      <c r="F54" s="18"/>
      <c r="G54" s="25">
        <v>1.7</v>
      </c>
      <c r="H54" s="21">
        <f t="shared" si="5"/>
        <v>0</v>
      </c>
      <c r="I54" s="22"/>
      <c r="J54" s="22"/>
    </row>
    <row r="55" spans="1:10" ht="47.25">
      <c r="A55" s="9" t="s">
        <v>153</v>
      </c>
      <c r="B55" s="15">
        <v>500</v>
      </c>
      <c r="C55" s="13">
        <f t="shared" si="0"/>
        <v>500</v>
      </c>
      <c r="D55" s="10" t="s">
        <v>39</v>
      </c>
      <c r="E55" s="30" t="s">
        <v>79</v>
      </c>
      <c r="F55" s="18"/>
      <c r="G55" s="25"/>
      <c r="H55" s="21"/>
      <c r="I55" s="22">
        <v>3.6</v>
      </c>
      <c r="J55" s="22">
        <f t="shared" si="4"/>
        <v>0</v>
      </c>
    </row>
    <row r="56" spans="1:10" ht="19.5">
      <c r="A56" s="9" t="s">
        <v>154</v>
      </c>
      <c r="B56" s="15">
        <v>100</v>
      </c>
      <c r="C56" s="13">
        <f t="shared" si="0"/>
        <v>100</v>
      </c>
      <c r="D56" s="10" t="s">
        <v>63</v>
      </c>
      <c r="E56" s="30" t="s">
        <v>201</v>
      </c>
      <c r="F56" s="18"/>
      <c r="G56" s="25">
        <v>3.5</v>
      </c>
      <c r="H56" s="21">
        <f t="shared" si="5"/>
        <v>0</v>
      </c>
      <c r="I56" s="22"/>
      <c r="J56" s="22"/>
    </row>
    <row r="57" spans="1:10" ht="19.5">
      <c r="A57" s="9" t="s">
        <v>155</v>
      </c>
      <c r="B57" s="15">
        <v>100</v>
      </c>
      <c r="C57" s="13">
        <f t="shared" si="0"/>
        <v>100</v>
      </c>
      <c r="D57" s="10" t="s">
        <v>63</v>
      </c>
      <c r="E57" s="30" t="s">
        <v>202</v>
      </c>
      <c r="F57" s="18"/>
      <c r="G57" s="25">
        <v>3.5</v>
      </c>
      <c r="H57" s="21">
        <f t="shared" si="5"/>
        <v>0</v>
      </c>
      <c r="I57" s="22"/>
      <c r="J57" s="22"/>
    </row>
    <row r="58" spans="1:10" ht="19.5">
      <c r="A58" s="9" t="s">
        <v>156</v>
      </c>
      <c r="B58" s="15">
        <v>100</v>
      </c>
      <c r="C58" s="13">
        <f t="shared" si="0"/>
        <v>100</v>
      </c>
      <c r="D58" s="10" t="s">
        <v>63</v>
      </c>
      <c r="E58" s="30" t="s">
        <v>203</v>
      </c>
      <c r="F58" s="18"/>
      <c r="G58" s="25">
        <v>3.5</v>
      </c>
      <c r="H58" s="21">
        <f t="shared" si="5"/>
        <v>0</v>
      </c>
      <c r="I58" s="22"/>
      <c r="J58" s="22"/>
    </row>
    <row r="59" spans="1:10" ht="63">
      <c r="A59" s="9" t="s">
        <v>157</v>
      </c>
      <c r="B59" s="15">
        <v>200</v>
      </c>
      <c r="C59" s="13">
        <f t="shared" si="0"/>
        <v>200</v>
      </c>
      <c r="D59" s="10" t="s">
        <v>63</v>
      </c>
      <c r="E59" s="30" t="s">
        <v>80</v>
      </c>
      <c r="F59" s="18"/>
      <c r="G59" s="25">
        <v>3.4</v>
      </c>
      <c r="H59" s="21">
        <f t="shared" si="5"/>
        <v>0</v>
      </c>
      <c r="I59" s="22">
        <v>0</v>
      </c>
      <c r="J59" s="22">
        <f t="shared" ref="J59:J90" si="6">F59*I59</f>
        <v>0</v>
      </c>
    </row>
    <row r="60" spans="1:10" ht="19.5">
      <c r="A60" s="9" t="s">
        <v>158</v>
      </c>
      <c r="B60" s="15">
        <v>200</v>
      </c>
      <c r="C60" s="13">
        <f t="shared" si="0"/>
        <v>200</v>
      </c>
      <c r="D60" s="10" t="s">
        <v>15</v>
      </c>
      <c r="E60" s="30" t="s">
        <v>81</v>
      </c>
      <c r="F60" s="18"/>
      <c r="G60" s="25"/>
      <c r="H60" s="21"/>
      <c r="I60" s="22">
        <v>27</v>
      </c>
      <c r="J60" s="22">
        <f t="shared" si="6"/>
        <v>0</v>
      </c>
    </row>
    <row r="61" spans="1:10" ht="63">
      <c r="A61" s="9" t="s">
        <v>159</v>
      </c>
      <c r="B61" s="15">
        <v>400</v>
      </c>
      <c r="C61" s="13">
        <f t="shared" si="0"/>
        <v>400</v>
      </c>
      <c r="D61" s="10" t="s">
        <v>82</v>
      </c>
      <c r="E61" s="30" t="s">
        <v>83</v>
      </c>
      <c r="F61" s="18"/>
      <c r="G61" s="25"/>
      <c r="H61" s="21"/>
      <c r="I61" s="22">
        <v>35</v>
      </c>
      <c r="J61" s="22">
        <f t="shared" si="6"/>
        <v>0</v>
      </c>
    </row>
    <row r="62" spans="1:10" ht="63">
      <c r="A62" s="9" t="s">
        <v>160</v>
      </c>
      <c r="B62" s="15">
        <v>400</v>
      </c>
      <c r="C62" s="13">
        <f t="shared" si="0"/>
        <v>400</v>
      </c>
      <c r="D62" s="10" t="s">
        <v>82</v>
      </c>
      <c r="E62" s="30" t="s">
        <v>84</v>
      </c>
      <c r="F62" s="18"/>
      <c r="G62" s="25"/>
      <c r="H62" s="21"/>
      <c r="I62" s="22">
        <v>35</v>
      </c>
      <c r="J62" s="22">
        <f t="shared" si="6"/>
        <v>0</v>
      </c>
    </row>
    <row r="63" spans="1:10" ht="31.5">
      <c r="A63" s="9" t="s">
        <v>198</v>
      </c>
      <c r="B63" s="15">
        <v>0</v>
      </c>
      <c r="C63" s="13">
        <f t="shared" si="0"/>
        <v>0</v>
      </c>
      <c r="D63" s="10" t="s">
        <v>54</v>
      </c>
      <c r="E63" s="11" t="s">
        <v>85</v>
      </c>
      <c r="F63" s="20"/>
      <c r="G63" s="25"/>
      <c r="H63" s="21"/>
      <c r="I63" s="22"/>
      <c r="J63" s="22"/>
    </row>
    <row r="64" spans="1:10" ht="47.25">
      <c r="A64" s="9" t="s">
        <v>162</v>
      </c>
      <c r="B64" s="15">
        <v>100</v>
      </c>
      <c r="C64" s="13">
        <f t="shared" si="0"/>
        <v>100</v>
      </c>
      <c r="D64" s="10" t="s">
        <v>39</v>
      </c>
      <c r="E64" s="30" t="s">
        <v>86</v>
      </c>
      <c r="F64" s="20"/>
      <c r="G64" s="25"/>
      <c r="H64" s="21"/>
      <c r="I64" s="22">
        <v>4.5</v>
      </c>
      <c r="J64" s="22">
        <f t="shared" si="6"/>
        <v>0</v>
      </c>
    </row>
    <row r="65" spans="1:10" ht="19.5">
      <c r="A65" s="9" t="s">
        <v>163</v>
      </c>
      <c r="B65" s="15">
        <v>100</v>
      </c>
      <c r="C65" s="13">
        <f t="shared" si="0"/>
        <v>100</v>
      </c>
      <c r="D65" s="10" t="s">
        <v>39</v>
      </c>
      <c r="E65" s="30" t="s">
        <v>87</v>
      </c>
      <c r="F65" s="20"/>
      <c r="G65" s="25">
        <v>12.75</v>
      </c>
      <c r="H65" s="21">
        <f t="shared" si="5"/>
        <v>0</v>
      </c>
      <c r="I65" s="22"/>
      <c r="J65" s="22"/>
    </row>
    <row r="66" spans="1:10" ht="19.5">
      <c r="A66" s="9" t="s">
        <v>164</v>
      </c>
      <c r="B66" s="15">
        <v>50</v>
      </c>
      <c r="C66" s="13">
        <f t="shared" si="0"/>
        <v>50</v>
      </c>
      <c r="D66" s="10" t="s">
        <v>15</v>
      </c>
      <c r="E66" s="30" t="s">
        <v>88</v>
      </c>
      <c r="F66" s="19"/>
      <c r="G66" s="25">
        <v>3.28</v>
      </c>
      <c r="H66" s="21">
        <f t="shared" si="5"/>
        <v>0</v>
      </c>
      <c r="I66" s="22"/>
      <c r="J66" s="22"/>
    </row>
    <row r="67" spans="1:10" ht="47.25">
      <c r="A67" s="9" t="s">
        <v>198</v>
      </c>
      <c r="B67" s="15">
        <v>0</v>
      </c>
      <c r="C67" s="13">
        <f t="shared" si="0"/>
        <v>0</v>
      </c>
      <c r="D67" s="10" t="s">
        <v>89</v>
      </c>
      <c r="E67" s="11" t="s">
        <v>90</v>
      </c>
      <c r="F67" s="18"/>
      <c r="G67" s="25"/>
      <c r="H67" s="21"/>
      <c r="I67" s="22"/>
      <c r="J67" s="22"/>
    </row>
    <row r="68" spans="1:10" ht="31.5">
      <c r="A68" s="9" t="s">
        <v>165</v>
      </c>
      <c r="B68" s="15">
        <v>80</v>
      </c>
      <c r="C68" s="13">
        <f t="shared" si="0"/>
        <v>80</v>
      </c>
      <c r="D68" s="10" t="s">
        <v>63</v>
      </c>
      <c r="E68" s="31" t="s">
        <v>91</v>
      </c>
      <c r="F68" s="17"/>
      <c r="G68" s="21">
        <v>5.5</v>
      </c>
      <c r="H68" s="21">
        <f t="shared" si="5"/>
        <v>0</v>
      </c>
      <c r="I68" s="22"/>
      <c r="J68" s="22">
        <f t="shared" si="6"/>
        <v>0</v>
      </c>
    </row>
    <row r="69" spans="1:10" ht="31.5">
      <c r="A69" s="9" t="s">
        <v>166</v>
      </c>
      <c r="B69" s="15">
        <v>500</v>
      </c>
      <c r="C69" s="13">
        <f t="shared" si="0"/>
        <v>500</v>
      </c>
      <c r="D69" s="10" t="s">
        <v>63</v>
      </c>
      <c r="E69" s="30" t="s">
        <v>92</v>
      </c>
      <c r="F69" s="18"/>
      <c r="G69" s="25"/>
      <c r="H69" s="21"/>
      <c r="I69" s="22">
        <v>3.2</v>
      </c>
      <c r="J69" s="22">
        <f t="shared" si="6"/>
        <v>0</v>
      </c>
    </row>
    <row r="70" spans="1:10" ht="31.5">
      <c r="A70" s="9" t="s">
        <v>167</v>
      </c>
      <c r="B70" s="15">
        <v>500</v>
      </c>
      <c r="C70" s="13">
        <f t="shared" si="0"/>
        <v>500</v>
      </c>
      <c r="D70" s="10" t="s">
        <v>63</v>
      </c>
      <c r="E70" s="30" t="s">
        <v>93</v>
      </c>
      <c r="F70" s="18"/>
      <c r="G70" s="25"/>
      <c r="H70" s="21"/>
      <c r="I70" s="22">
        <v>4.9000000000000004</v>
      </c>
      <c r="J70" s="22">
        <f t="shared" si="6"/>
        <v>0</v>
      </c>
    </row>
    <row r="71" spans="1:10" ht="31.5">
      <c r="A71" s="9" t="s">
        <v>168</v>
      </c>
      <c r="B71" s="15">
        <v>50</v>
      </c>
      <c r="C71" s="13">
        <f t="shared" si="0"/>
        <v>50</v>
      </c>
      <c r="D71" s="10" t="s">
        <v>63</v>
      </c>
      <c r="E71" s="31" t="s">
        <v>94</v>
      </c>
      <c r="F71" s="18"/>
      <c r="G71" s="25"/>
      <c r="H71" s="21"/>
      <c r="I71" s="22">
        <v>11</v>
      </c>
      <c r="J71" s="22">
        <f t="shared" si="6"/>
        <v>0</v>
      </c>
    </row>
    <row r="72" spans="1:10" ht="31.5">
      <c r="A72" s="9" t="s">
        <v>169</v>
      </c>
      <c r="B72" s="15">
        <v>600</v>
      </c>
      <c r="C72" s="13">
        <f t="shared" si="0"/>
        <v>600</v>
      </c>
      <c r="D72" s="10" t="s">
        <v>63</v>
      </c>
      <c r="E72" s="30" t="s">
        <v>95</v>
      </c>
      <c r="F72" s="18"/>
      <c r="G72" s="25"/>
      <c r="H72" s="21"/>
      <c r="I72" s="22">
        <v>2.2999999999999998</v>
      </c>
      <c r="J72" s="22">
        <f t="shared" si="6"/>
        <v>0</v>
      </c>
    </row>
    <row r="73" spans="1:10" ht="31.5">
      <c r="A73" s="9" t="s">
        <v>170</v>
      </c>
      <c r="B73" s="15">
        <v>200</v>
      </c>
      <c r="C73" s="13">
        <f t="shared" si="0"/>
        <v>200</v>
      </c>
      <c r="D73" s="10" t="s">
        <v>63</v>
      </c>
      <c r="E73" s="30" t="s">
        <v>96</v>
      </c>
      <c r="F73" s="19"/>
      <c r="G73" s="25"/>
      <c r="H73" s="21"/>
      <c r="I73" s="22">
        <v>3.5</v>
      </c>
      <c r="J73" s="22">
        <f t="shared" si="6"/>
        <v>0</v>
      </c>
    </row>
    <row r="74" spans="1:10" ht="31.5">
      <c r="A74" s="9" t="s">
        <v>171</v>
      </c>
      <c r="B74" s="15">
        <v>200</v>
      </c>
      <c r="C74" s="13">
        <f t="shared" ref="C74:C99" si="7">B74-F74</f>
        <v>200</v>
      </c>
      <c r="D74" s="10" t="s">
        <v>63</v>
      </c>
      <c r="E74" s="30" t="s">
        <v>97</v>
      </c>
      <c r="F74" s="18"/>
      <c r="G74" s="25"/>
      <c r="H74" s="21"/>
      <c r="I74" s="22">
        <v>4.5</v>
      </c>
      <c r="J74" s="22">
        <f t="shared" si="6"/>
        <v>0</v>
      </c>
    </row>
    <row r="75" spans="1:10" ht="31.5">
      <c r="A75" s="9" t="s">
        <v>172</v>
      </c>
      <c r="B75" s="15">
        <v>200</v>
      </c>
      <c r="C75" s="13">
        <f t="shared" si="7"/>
        <v>200</v>
      </c>
      <c r="D75" s="10" t="s">
        <v>63</v>
      </c>
      <c r="E75" s="30" t="s">
        <v>98</v>
      </c>
      <c r="F75" s="18"/>
      <c r="G75" s="25"/>
      <c r="H75" s="21"/>
      <c r="I75" s="22">
        <v>4.5</v>
      </c>
      <c r="J75" s="22">
        <f t="shared" si="6"/>
        <v>0</v>
      </c>
    </row>
    <row r="76" spans="1:10" ht="31.5">
      <c r="A76" s="9" t="s">
        <v>173</v>
      </c>
      <c r="B76" s="15">
        <v>200</v>
      </c>
      <c r="C76" s="13">
        <f t="shared" si="7"/>
        <v>200</v>
      </c>
      <c r="D76" s="10" t="s">
        <v>63</v>
      </c>
      <c r="E76" s="30" t="s">
        <v>99</v>
      </c>
      <c r="F76" s="18"/>
      <c r="G76" s="25"/>
      <c r="H76" s="21"/>
      <c r="I76" s="22">
        <v>4.5</v>
      </c>
      <c r="J76" s="22">
        <f t="shared" si="6"/>
        <v>0</v>
      </c>
    </row>
    <row r="77" spans="1:10" ht="31.5">
      <c r="A77" s="9" t="s">
        <v>174</v>
      </c>
      <c r="B77" s="15">
        <v>200</v>
      </c>
      <c r="C77" s="13">
        <f t="shared" si="7"/>
        <v>200</v>
      </c>
      <c r="D77" s="10" t="s">
        <v>63</v>
      </c>
      <c r="E77" s="30" t="s">
        <v>100</v>
      </c>
      <c r="F77" s="18"/>
      <c r="G77" s="25"/>
      <c r="H77" s="21"/>
      <c r="I77" s="22">
        <v>4</v>
      </c>
      <c r="J77" s="22">
        <f t="shared" si="6"/>
        <v>0</v>
      </c>
    </row>
    <row r="78" spans="1:10" ht="19.5">
      <c r="A78" s="9" t="s">
        <v>175</v>
      </c>
      <c r="B78" s="15">
        <v>400</v>
      </c>
      <c r="C78" s="13">
        <f t="shared" si="7"/>
        <v>400</v>
      </c>
      <c r="D78" s="10" t="s">
        <v>44</v>
      </c>
      <c r="E78" s="30" t="s">
        <v>101</v>
      </c>
      <c r="F78" s="18"/>
      <c r="G78" s="25"/>
      <c r="H78" s="21"/>
      <c r="I78" s="22">
        <v>4</v>
      </c>
      <c r="J78" s="22">
        <f t="shared" si="6"/>
        <v>0</v>
      </c>
    </row>
    <row r="79" spans="1:10" ht="47.25">
      <c r="A79" s="9" t="s">
        <v>176</v>
      </c>
      <c r="B79" s="15">
        <v>100</v>
      </c>
      <c r="C79" s="13">
        <f t="shared" si="7"/>
        <v>100</v>
      </c>
      <c r="D79" s="10" t="s">
        <v>102</v>
      </c>
      <c r="E79" s="30" t="s">
        <v>103</v>
      </c>
      <c r="F79" s="18"/>
      <c r="G79" s="25"/>
      <c r="H79" s="21"/>
      <c r="I79" s="22">
        <v>20</v>
      </c>
      <c r="J79" s="22">
        <f t="shared" si="6"/>
        <v>0</v>
      </c>
    </row>
    <row r="80" spans="1:10" ht="19.5">
      <c r="A80" s="9" t="s">
        <v>177</v>
      </c>
      <c r="B80" s="15">
        <v>100</v>
      </c>
      <c r="C80" s="13">
        <f t="shared" si="7"/>
        <v>100</v>
      </c>
      <c r="D80" s="10" t="s">
        <v>102</v>
      </c>
      <c r="E80" s="30" t="s">
        <v>104</v>
      </c>
      <c r="F80" s="20"/>
      <c r="G80" s="25"/>
      <c r="H80" s="21"/>
      <c r="I80" s="22"/>
      <c r="J80" s="22"/>
    </row>
    <row r="81" spans="1:10" ht="19.5">
      <c r="A81" s="9" t="s">
        <v>178</v>
      </c>
      <c r="B81" s="15">
        <v>800</v>
      </c>
      <c r="C81" s="13">
        <f t="shared" si="7"/>
        <v>800</v>
      </c>
      <c r="D81" s="10" t="s">
        <v>63</v>
      </c>
      <c r="E81" s="30" t="s">
        <v>105</v>
      </c>
      <c r="F81" s="20"/>
      <c r="G81" s="25"/>
      <c r="H81" s="21"/>
      <c r="I81" s="22">
        <v>11.8</v>
      </c>
      <c r="J81" s="22">
        <f t="shared" si="6"/>
        <v>0</v>
      </c>
    </row>
    <row r="82" spans="1:10" ht="47.25">
      <c r="A82" s="9" t="s">
        <v>179</v>
      </c>
      <c r="B82" s="15">
        <v>100</v>
      </c>
      <c r="C82" s="13">
        <f t="shared" si="7"/>
        <v>100</v>
      </c>
      <c r="D82" s="10" t="s">
        <v>44</v>
      </c>
      <c r="E82" s="30" t="s">
        <v>106</v>
      </c>
      <c r="F82" s="20"/>
      <c r="G82" s="25"/>
      <c r="H82" s="21"/>
      <c r="I82" s="22">
        <v>15</v>
      </c>
      <c r="J82" s="22">
        <f t="shared" si="6"/>
        <v>0</v>
      </c>
    </row>
    <row r="83" spans="1:10" ht="63">
      <c r="A83" s="9" t="s">
        <v>180</v>
      </c>
      <c r="B83" s="15">
        <v>100</v>
      </c>
      <c r="C83" s="13">
        <f t="shared" si="7"/>
        <v>100</v>
      </c>
      <c r="D83" s="10" t="s">
        <v>44</v>
      </c>
      <c r="E83" s="30" t="s">
        <v>107</v>
      </c>
      <c r="F83" s="19"/>
      <c r="G83" s="25"/>
      <c r="H83" s="21"/>
      <c r="I83" s="22">
        <v>13</v>
      </c>
      <c r="J83" s="22">
        <f t="shared" si="6"/>
        <v>0</v>
      </c>
    </row>
    <row r="84" spans="1:10" ht="19.5">
      <c r="A84" s="9" t="s">
        <v>181</v>
      </c>
      <c r="B84" s="15">
        <v>100</v>
      </c>
      <c r="C84" s="13">
        <f t="shared" si="7"/>
        <v>100</v>
      </c>
      <c r="D84" s="10" t="s">
        <v>44</v>
      </c>
      <c r="E84" s="30" t="s">
        <v>108</v>
      </c>
      <c r="F84" s="18"/>
      <c r="G84" s="25">
        <v>5.5</v>
      </c>
      <c r="H84" s="21">
        <f t="shared" ref="H84:H86" si="8">F84*G84</f>
        <v>0</v>
      </c>
      <c r="I84" s="22"/>
      <c r="J84" s="22">
        <f t="shared" si="6"/>
        <v>0</v>
      </c>
    </row>
    <row r="85" spans="1:10" ht="19.5">
      <c r="A85" s="9" t="s">
        <v>182</v>
      </c>
      <c r="B85" s="15">
        <v>100</v>
      </c>
      <c r="C85" s="13">
        <f t="shared" si="7"/>
        <v>100</v>
      </c>
      <c r="D85" s="10" t="s">
        <v>44</v>
      </c>
      <c r="E85" s="30" t="s">
        <v>109</v>
      </c>
      <c r="F85" s="17"/>
      <c r="G85" s="21">
        <v>0</v>
      </c>
      <c r="H85" s="21">
        <f t="shared" si="8"/>
        <v>0</v>
      </c>
      <c r="I85" s="22">
        <v>20</v>
      </c>
      <c r="J85" s="22">
        <f t="shared" si="6"/>
        <v>0</v>
      </c>
    </row>
    <row r="86" spans="1:10" ht="19.5">
      <c r="A86" s="9" t="s">
        <v>183</v>
      </c>
      <c r="B86" s="15">
        <v>100</v>
      </c>
      <c r="C86" s="13">
        <f t="shared" si="7"/>
        <v>100</v>
      </c>
      <c r="D86" s="10" t="s">
        <v>44</v>
      </c>
      <c r="E86" s="30" t="s">
        <v>110</v>
      </c>
      <c r="F86" s="18"/>
      <c r="G86" s="25">
        <v>70</v>
      </c>
      <c r="H86" s="21">
        <f t="shared" si="8"/>
        <v>0</v>
      </c>
      <c r="I86" s="22"/>
      <c r="J86" s="22">
        <f t="shared" si="6"/>
        <v>0</v>
      </c>
    </row>
    <row r="87" spans="1:10" ht="19.5">
      <c r="A87" s="9" t="s">
        <v>184</v>
      </c>
      <c r="B87" s="15">
        <v>400</v>
      </c>
      <c r="C87" s="13">
        <f t="shared" si="7"/>
        <v>400</v>
      </c>
      <c r="D87" s="10" t="s">
        <v>44</v>
      </c>
      <c r="E87" s="30" t="s">
        <v>111</v>
      </c>
      <c r="F87" s="18"/>
      <c r="G87" s="25"/>
      <c r="H87" s="21"/>
      <c r="I87" s="22">
        <v>3.6</v>
      </c>
      <c r="J87" s="22">
        <f t="shared" si="6"/>
        <v>0</v>
      </c>
    </row>
    <row r="88" spans="1:10" ht="19.5">
      <c r="A88" s="9" t="s">
        <v>185</v>
      </c>
      <c r="B88" s="15">
        <v>500</v>
      </c>
      <c r="C88" s="13">
        <f t="shared" si="7"/>
        <v>500</v>
      </c>
      <c r="D88" s="10" t="s">
        <v>39</v>
      </c>
      <c r="E88" s="30" t="s">
        <v>112</v>
      </c>
      <c r="F88" s="18"/>
      <c r="G88" s="25"/>
      <c r="H88" s="21"/>
      <c r="I88" s="22">
        <v>6.5</v>
      </c>
      <c r="J88" s="22">
        <f t="shared" si="6"/>
        <v>0</v>
      </c>
    </row>
    <row r="89" spans="1:10" ht="19.5">
      <c r="A89" s="9" t="s">
        <v>186</v>
      </c>
      <c r="B89" s="15">
        <v>400</v>
      </c>
      <c r="C89" s="13">
        <f t="shared" si="7"/>
        <v>400</v>
      </c>
      <c r="D89" s="10" t="s">
        <v>102</v>
      </c>
      <c r="E89" s="30" t="s">
        <v>113</v>
      </c>
      <c r="F89" s="18"/>
      <c r="G89" s="25"/>
      <c r="H89" s="21"/>
      <c r="I89" s="22">
        <v>2</v>
      </c>
      <c r="J89" s="22">
        <f t="shared" si="6"/>
        <v>0</v>
      </c>
    </row>
    <row r="90" spans="1:10" ht="19.5">
      <c r="A90" s="9" t="s">
        <v>187</v>
      </c>
      <c r="B90" s="15">
        <v>400</v>
      </c>
      <c r="C90" s="13">
        <f t="shared" si="7"/>
        <v>400</v>
      </c>
      <c r="D90" s="10" t="s">
        <v>63</v>
      </c>
      <c r="E90" s="30" t="s">
        <v>114</v>
      </c>
      <c r="F90" s="19"/>
      <c r="G90" s="25"/>
      <c r="H90" s="21"/>
      <c r="I90" s="22">
        <v>9</v>
      </c>
      <c r="J90" s="22">
        <f t="shared" si="6"/>
        <v>0</v>
      </c>
    </row>
    <row r="91" spans="1:10" ht="19.5">
      <c r="A91" s="9" t="s">
        <v>188</v>
      </c>
      <c r="B91" s="16">
        <v>400</v>
      </c>
      <c r="C91" s="13">
        <f t="shared" si="7"/>
        <v>400</v>
      </c>
      <c r="D91" s="10" t="s">
        <v>44</v>
      </c>
      <c r="E91" s="30" t="s">
        <v>204</v>
      </c>
      <c r="F91" s="18"/>
      <c r="G91" s="25">
        <v>0.7</v>
      </c>
      <c r="H91" s="21"/>
      <c r="I91" s="22"/>
      <c r="J91" s="22"/>
    </row>
    <row r="92" spans="1:10" ht="19.5">
      <c r="A92" s="9" t="s">
        <v>189</v>
      </c>
      <c r="B92" s="15">
        <v>500</v>
      </c>
      <c r="C92" s="13">
        <f t="shared" si="7"/>
        <v>500</v>
      </c>
      <c r="D92" s="10" t="s">
        <v>63</v>
      </c>
      <c r="E92" s="30" t="s">
        <v>116</v>
      </c>
      <c r="F92" s="18"/>
      <c r="G92" s="25"/>
      <c r="H92" s="21"/>
      <c r="I92" s="22">
        <v>2.5</v>
      </c>
      <c r="J92" s="22">
        <f t="shared" ref="J92:J99" si="9">F92*I92</f>
        <v>0</v>
      </c>
    </row>
    <row r="93" spans="1:10" ht="19.5">
      <c r="A93" s="9" t="s">
        <v>190</v>
      </c>
      <c r="B93" s="15">
        <v>100</v>
      </c>
      <c r="C93" s="13">
        <f t="shared" si="7"/>
        <v>100</v>
      </c>
      <c r="D93" s="10" t="s">
        <v>63</v>
      </c>
      <c r="E93" s="30" t="s">
        <v>117</v>
      </c>
      <c r="F93" s="18"/>
      <c r="G93" s="25"/>
      <c r="H93" s="21"/>
      <c r="I93" s="22"/>
      <c r="J93" s="22"/>
    </row>
    <row r="94" spans="1:10" ht="19.5">
      <c r="A94" s="9" t="s">
        <v>191</v>
      </c>
      <c r="B94" s="15">
        <v>500</v>
      </c>
      <c r="C94" s="13">
        <f t="shared" si="7"/>
        <v>500</v>
      </c>
      <c r="D94" s="10" t="s">
        <v>44</v>
      </c>
      <c r="E94" s="30" t="s">
        <v>118</v>
      </c>
      <c r="F94" s="18"/>
      <c r="G94" s="25"/>
      <c r="H94" s="21"/>
      <c r="I94" s="22">
        <v>4</v>
      </c>
      <c r="J94" s="22">
        <f t="shared" si="9"/>
        <v>0</v>
      </c>
    </row>
    <row r="95" spans="1:10" ht="19.5">
      <c r="A95" s="9" t="s">
        <v>206</v>
      </c>
      <c r="B95" s="15">
        <v>100</v>
      </c>
      <c r="C95" s="13">
        <f t="shared" si="7"/>
        <v>100</v>
      </c>
      <c r="D95" s="10" t="s">
        <v>102</v>
      </c>
      <c r="E95" s="30" t="s">
        <v>119</v>
      </c>
      <c r="F95" s="18"/>
      <c r="G95" s="25">
        <v>3.9</v>
      </c>
      <c r="H95" s="21">
        <f t="shared" ref="H95:H99" si="10">F95*G95</f>
        <v>0</v>
      </c>
      <c r="I95" s="22"/>
      <c r="J95" s="22">
        <f t="shared" si="9"/>
        <v>0</v>
      </c>
    </row>
    <row r="96" spans="1:10" ht="31.5">
      <c r="A96" s="9" t="s">
        <v>207</v>
      </c>
      <c r="B96" s="16">
        <v>200</v>
      </c>
      <c r="C96" s="13">
        <f t="shared" si="7"/>
        <v>200</v>
      </c>
      <c r="D96" s="10" t="s">
        <v>120</v>
      </c>
      <c r="E96" s="30" t="s">
        <v>121</v>
      </c>
      <c r="F96" s="18"/>
      <c r="G96" s="25">
        <v>5.9</v>
      </c>
      <c r="H96" s="21">
        <f t="shared" si="10"/>
        <v>0</v>
      </c>
      <c r="I96" s="22"/>
      <c r="J96" s="22">
        <f t="shared" si="9"/>
        <v>0</v>
      </c>
    </row>
    <row r="97" spans="1:10" ht="19.5">
      <c r="A97" s="9" t="s">
        <v>208</v>
      </c>
      <c r="B97" s="15">
        <v>400</v>
      </c>
      <c r="C97" s="13">
        <f t="shared" si="7"/>
        <v>400</v>
      </c>
      <c r="D97" s="10" t="s">
        <v>44</v>
      </c>
      <c r="E97" s="30" t="s">
        <v>122</v>
      </c>
      <c r="F97" s="20"/>
      <c r="G97" s="25">
        <v>7</v>
      </c>
      <c r="H97" s="21">
        <f t="shared" si="10"/>
        <v>0</v>
      </c>
      <c r="I97" s="22"/>
      <c r="J97" s="22">
        <f t="shared" si="9"/>
        <v>0</v>
      </c>
    </row>
    <row r="98" spans="1:10" ht="19.5">
      <c r="A98" s="9" t="s">
        <v>205</v>
      </c>
      <c r="B98" s="15">
        <v>200</v>
      </c>
      <c r="C98" s="13">
        <f t="shared" si="7"/>
        <v>200</v>
      </c>
      <c r="D98" s="10" t="s">
        <v>44</v>
      </c>
      <c r="E98" s="30" t="s">
        <v>123</v>
      </c>
      <c r="F98" s="20"/>
      <c r="G98" s="25">
        <v>4</v>
      </c>
      <c r="H98" s="21">
        <f t="shared" si="10"/>
        <v>0</v>
      </c>
      <c r="I98" s="22"/>
      <c r="J98" s="22">
        <f t="shared" si="9"/>
        <v>0</v>
      </c>
    </row>
    <row r="99" spans="1:10" ht="19.5">
      <c r="A99" s="9" t="s">
        <v>209</v>
      </c>
      <c r="B99" s="15">
        <v>100</v>
      </c>
      <c r="C99" s="13">
        <f t="shared" si="7"/>
        <v>100</v>
      </c>
      <c r="D99" s="10" t="s">
        <v>44</v>
      </c>
      <c r="E99" s="30" t="s">
        <v>124</v>
      </c>
      <c r="F99" s="20"/>
      <c r="G99" s="25">
        <v>6.99</v>
      </c>
      <c r="H99" s="21">
        <f t="shared" si="10"/>
        <v>0</v>
      </c>
      <c r="I99" s="22"/>
      <c r="J99" s="22">
        <f t="shared" si="9"/>
        <v>0</v>
      </c>
    </row>
    <row r="100" spans="1:10" ht="19.5">
      <c r="A100" s="43">
        <v>0</v>
      </c>
      <c r="B100" s="43"/>
      <c r="C100" s="43"/>
      <c r="D100" s="43"/>
      <c r="E100" s="43"/>
      <c r="F100" s="44"/>
      <c r="G100" s="45">
        <f>SUM(H9:H99)</f>
        <v>0</v>
      </c>
      <c r="H100" s="46"/>
      <c r="I100" s="47">
        <f>SUM(J9:J99)</f>
        <v>0</v>
      </c>
      <c r="J100" s="48"/>
    </row>
  </sheetData>
  <mergeCells count="15">
    <mergeCell ref="A100:F100"/>
    <mergeCell ref="G100:H100"/>
    <mergeCell ref="I100:J100"/>
    <mergeCell ref="A2:J2"/>
    <mergeCell ref="A3:J3"/>
    <mergeCell ref="A4:J4"/>
    <mergeCell ref="A5:J5"/>
    <mergeCell ref="A7:A8"/>
    <mergeCell ref="B7:B8"/>
    <mergeCell ref="C7:C8"/>
    <mergeCell ref="D7:D8"/>
    <mergeCell ref="E7:E8"/>
    <mergeCell ref="F7:F8"/>
    <mergeCell ref="G7:H7"/>
    <mergeCell ref="I7:J7"/>
  </mergeCells>
  <conditionalFormatting sqref="C9:C99">
    <cfRule type="cellIs" dxfId="3" priority="1" operator="lessThan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00"/>
  <sheetViews>
    <sheetView workbookViewId="0">
      <selection sqref="A1:XFD1048576"/>
    </sheetView>
  </sheetViews>
  <sheetFormatPr defaultRowHeight="15"/>
  <cols>
    <col min="2" max="2" width="12.7109375" customWidth="1"/>
    <col min="3" max="3" width="13.28515625" customWidth="1"/>
    <col min="5" max="5" width="52.42578125" customWidth="1"/>
    <col min="6" max="6" width="18.28515625" customWidth="1"/>
    <col min="7" max="7" width="8" bestFit="1" customWidth="1"/>
    <col min="8" max="8" width="10.140625" bestFit="1" customWidth="1"/>
    <col min="9" max="9" width="10.140625" customWidth="1"/>
    <col min="10" max="10" width="14.140625" customWidth="1"/>
  </cols>
  <sheetData>
    <row r="1" spans="1:10">
      <c r="A1" s="1"/>
      <c r="B1" s="2"/>
      <c r="C1" s="2"/>
      <c r="D1" s="1"/>
      <c r="E1" s="1"/>
      <c r="F1" s="1"/>
      <c r="G1" s="1"/>
      <c r="H1" s="1"/>
      <c r="I1" s="1"/>
      <c r="J1" s="1"/>
    </row>
    <row r="2" spans="1:10" ht="15" customHeight="1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ht="15" customHeight="1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</row>
    <row r="4" spans="1:10" ht="15" customHeight="1">
      <c r="A4" s="54" t="s">
        <v>2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ht="15" customHeight="1">
      <c r="A5" s="54" t="s">
        <v>125</v>
      </c>
      <c r="B5" s="54"/>
      <c r="C5" s="54"/>
      <c r="D5" s="54"/>
      <c r="E5" s="54"/>
      <c r="F5" s="54"/>
      <c r="G5" s="54"/>
      <c r="H5" s="54"/>
      <c r="I5" s="54"/>
      <c r="J5" s="54"/>
    </row>
    <row r="6" spans="1:10" ht="18.75">
      <c r="A6" s="32"/>
      <c r="B6" s="32"/>
      <c r="C6" s="32"/>
      <c r="D6" s="32"/>
      <c r="E6" s="32"/>
      <c r="F6" s="32"/>
      <c r="G6" s="32"/>
      <c r="H6" s="32"/>
      <c r="I6" s="4"/>
      <c r="J6" s="4"/>
    </row>
    <row r="7" spans="1:10" ht="19.5" customHeight="1">
      <c r="A7" s="64" t="s">
        <v>3</v>
      </c>
      <c r="B7" s="64" t="s">
        <v>4</v>
      </c>
      <c r="C7" s="57" t="s">
        <v>5</v>
      </c>
      <c r="D7" s="64" t="s">
        <v>6</v>
      </c>
      <c r="E7" s="64" t="s">
        <v>7</v>
      </c>
      <c r="F7" s="59" t="s">
        <v>8</v>
      </c>
      <c r="G7" s="67" t="s">
        <v>193</v>
      </c>
      <c r="H7" s="68"/>
      <c r="I7" s="69" t="s">
        <v>194</v>
      </c>
      <c r="J7" s="70"/>
    </row>
    <row r="8" spans="1:10" ht="19.5">
      <c r="A8" s="65"/>
      <c r="B8" s="65"/>
      <c r="C8" s="58"/>
      <c r="D8" s="65"/>
      <c r="E8" s="65"/>
      <c r="F8" s="66"/>
      <c r="G8" s="5" t="s">
        <v>12</v>
      </c>
      <c r="H8" s="5" t="s">
        <v>13</v>
      </c>
      <c r="I8" s="6" t="s">
        <v>12</v>
      </c>
      <c r="J8" s="6" t="s">
        <v>13</v>
      </c>
    </row>
    <row r="9" spans="1:10" ht="19.5">
      <c r="A9" s="9" t="s">
        <v>14</v>
      </c>
      <c r="B9" s="15">
        <v>20000</v>
      </c>
      <c r="C9" s="13">
        <f>B9-F9</f>
        <v>20000</v>
      </c>
      <c r="D9" s="10" t="s">
        <v>15</v>
      </c>
      <c r="E9" s="30" t="s">
        <v>33</v>
      </c>
      <c r="F9" s="17"/>
      <c r="G9" s="21"/>
      <c r="H9" s="21"/>
      <c r="I9" s="22">
        <v>4.3</v>
      </c>
      <c r="J9" s="22">
        <f>F9*I9</f>
        <v>0</v>
      </c>
    </row>
    <row r="10" spans="1:10" ht="19.5">
      <c r="A10" s="9" t="s">
        <v>16</v>
      </c>
      <c r="B10" s="15">
        <v>2000</v>
      </c>
      <c r="C10" s="13">
        <f t="shared" ref="C10:C73" si="0">B10-F10</f>
        <v>2000</v>
      </c>
      <c r="D10" s="10" t="s">
        <v>15</v>
      </c>
      <c r="E10" s="30" t="s">
        <v>34</v>
      </c>
      <c r="F10" s="18"/>
      <c r="G10" s="25"/>
      <c r="H10" s="21"/>
      <c r="I10" s="22">
        <v>8.18</v>
      </c>
      <c r="J10" s="22">
        <f t="shared" ref="J10:J26" si="1">F10*I10</f>
        <v>0</v>
      </c>
    </row>
    <row r="11" spans="1:10" ht="31.5">
      <c r="A11" s="9" t="s">
        <v>17</v>
      </c>
      <c r="B11" s="15">
        <v>2000</v>
      </c>
      <c r="C11" s="13">
        <f t="shared" si="0"/>
        <v>2000</v>
      </c>
      <c r="D11" s="10" t="s">
        <v>35</v>
      </c>
      <c r="E11" s="30" t="s">
        <v>36</v>
      </c>
      <c r="F11" s="18"/>
      <c r="G11" s="25"/>
      <c r="H11" s="21"/>
      <c r="I11" s="22">
        <v>3.2</v>
      </c>
      <c r="J11" s="22">
        <f t="shared" si="1"/>
        <v>0</v>
      </c>
    </row>
    <row r="12" spans="1:10" ht="19.5">
      <c r="A12" s="9" t="s">
        <v>18</v>
      </c>
      <c r="B12" s="15">
        <v>200</v>
      </c>
      <c r="C12" s="13">
        <f t="shared" si="0"/>
        <v>200</v>
      </c>
      <c r="D12" s="10" t="s">
        <v>15</v>
      </c>
      <c r="E12" s="30" t="s">
        <v>37</v>
      </c>
      <c r="F12" s="18"/>
      <c r="G12" s="25"/>
      <c r="H12" s="21"/>
      <c r="I12" s="22">
        <v>1.5</v>
      </c>
      <c r="J12" s="22">
        <f t="shared" si="1"/>
        <v>0</v>
      </c>
    </row>
    <row r="13" spans="1:10" ht="19.5">
      <c r="A13" s="9" t="s">
        <v>19</v>
      </c>
      <c r="B13" s="15">
        <v>2000</v>
      </c>
      <c r="C13" s="13">
        <f t="shared" si="0"/>
        <v>2000</v>
      </c>
      <c r="D13" s="10" t="s">
        <v>15</v>
      </c>
      <c r="E13" s="30" t="s">
        <v>38</v>
      </c>
      <c r="F13" s="18"/>
      <c r="G13" s="25"/>
      <c r="H13" s="21"/>
      <c r="I13" s="22">
        <v>4.5</v>
      </c>
      <c r="J13" s="22">
        <f t="shared" si="1"/>
        <v>0</v>
      </c>
    </row>
    <row r="14" spans="1:10" ht="31.5">
      <c r="A14" s="9" t="s">
        <v>20</v>
      </c>
      <c r="B14" s="15">
        <v>500</v>
      </c>
      <c r="C14" s="13">
        <f t="shared" si="0"/>
        <v>500</v>
      </c>
      <c r="D14" s="10" t="s">
        <v>39</v>
      </c>
      <c r="E14" s="30" t="s">
        <v>40</v>
      </c>
      <c r="F14" s="19"/>
      <c r="G14" s="25"/>
      <c r="H14" s="21"/>
      <c r="I14" s="22">
        <v>5</v>
      </c>
      <c r="J14" s="22">
        <f t="shared" si="1"/>
        <v>0</v>
      </c>
    </row>
    <row r="15" spans="1:10" ht="19.5">
      <c r="A15" s="9" t="s">
        <v>21</v>
      </c>
      <c r="B15" s="15">
        <v>500</v>
      </c>
      <c r="C15" s="13">
        <f t="shared" si="0"/>
        <v>500</v>
      </c>
      <c r="D15" s="10" t="s">
        <v>39</v>
      </c>
      <c r="E15" s="30" t="s">
        <v>41</v>
      </c>
      <c r="F15" s="18"/>
      <c r="G15" s="25"/>
      <c r="H15" s="21"/>
      <c r="I15" s="22">
        <v>3.7</v>
      </c>
      <c r="J15" s="22">
        <f t="shared" si="1"/>
        <v>0</v>
      </c>
    </row>
    <row r="16" spans="1:10" ht="19.5">
      <c r="A16" s="9" t="s">
        <v>22</v>
      </c>
      <c r="B16" s="15">
        <v>4000</v>
      </c>
      <c r="C16" s="13">
        <f t="shared" si="0"/>
        <v>4000</v>
      </c>
      <c r="D16" s="10" t="s">
        <v>35</v>
      </c>
      <c r="E16" s="30" t="s">
        <v>42</v>
      </c>
      <c r="F16" s="18"/>
      <c r="G16" s="25"/>
      <c r="H16" s="21"/>
      <c r="I16" s="22">
        <v>6</v>
      </c>
      <c r="J16" s="22">
        <f t="shared" si="1"/>
        <v>0</v>
      </c>
    </row>
    <row r="17" spans="1:10" ht="19.5">
      <c r="A17" s="9" t="s">
        <v>23</v>
      </c>
      <c r="B17" s="15">
        <v>4000</v>
      </c>
      <c r="C17" s="13">
        <f t="shared" si="0"/>
        <v>4000</v>
      </c>
      <c r="D17" s="10" t="s">
        <v>35</v>
      </c>
      <c r="E17" s="30" t="s">
        <v>43</v>
      </c>
      <c r="F17" s="18"/>
      <c r="G17" s="25"/>
      <c r="H17" s="21"/>
      <c r="I17" s="22">
        <v>6</v>
      </c>
      <c r="J17" s="22">
        <f t="shared" si="1"/>
        <v>0</v>
      </c>
    </row>
    <row r="18" spans="1:10" ht="19.5">
      <c r="A18" s="9" t="s">
        <v>24</v>
      </c>
      <c r="B18" s="15">
        <v>1000</v>
      </c>
      <c r="C18" s="13">
        <f t="shared" si="0"/>
        <v>1000</v>
      </c>
      <c r="D18" s="10" t="s">
        <v>44</v>
      </c>
      <c r="E18" s="30" t="s">
        <v>45</v>
      </c>
      <c r="F18" s="18"/>
      <c r="G18" s="25"/>
      <c r="H18" s="21"/>
      <c r="I18" s="22">
        <v>7</v>
      </c>
      <c r="J18" s="22">
        <f t="shared" si="1"/>
        <v>0</v>
      </c>
    </row>
    <row r="19" spans="1:10" ht="19.5">
      <c r="A19" s="9" t="s">
        <v>25</v>
      </c>
      <c r="B19" s="15">
        <v>500</v>
      </c>
      <c r="C19" s="13">
        <f t="shared" si="0"/>
        <v>500</v>
      </c>
      <c r="D19" s="10" t="s">
        <v>46</v>
      </c>
      <c r="E19" s="30" t="s">
        <v>47</v>
      </c>
      <c r="F19" s="18"/>
      <c r="G19" s="25">
        <v>8</v>
      </c>
      <c r="H19" s="21">
        <f t="shared" ref="H19:H37" si="2">F19*G19</f>
        <v>0</v>
      </c>
      <c r="I19" s="22"/>
      <c r="J19" s="22"/>
    </row>
    <row r="20" spans="1:10" ht="19.5">
      <c r="A20" s="9" t="s">
        <v>26</v>
      </c>
      <c r="B20" s="15">
        <v>4000</v>
      </c>
      <c r="C20" s="13">
        <f t="shared" si="0"/>
        <v>4000</v>
      </c>
      <c r="D20" s="10" t="s">
        <v>39</v>
      </c>
      <c r="E20" s="30" t="s">
        <v>48</v>
      </c>
      <c r="F20" s="18"/>
      <c r="G20" s="25">
        <v>20</v>
      </c>
      <c r="H20" s="21">
        <f t="shared" si="2"/>
        <v>0</v>
      </c>
      <c r="I20" s="22"/>
      <c r="J20" s="22"/>
    </row>
    <row r="21" spans="1:10" ht="19.5">
      <c r="A21" s="9" t="s">
        <v>28</v>
      </c>
      <c r="B21" s="15">
        <v>500</v>
      </c>
      <c r="C21" s="13">
        <f t="shared" si="0"/>
        <v>500</v>
      </c>
      <c r="D21" s="10" t="s">
        <v>35</v>
      </c>
      <c r="E21" s="30" t="s">
        <v>27</v>
      </c>
      <c r="F21" s="20"/>
      <c r="G21" s="25"/>
      <c r="H21" s="21"/>
      <c r="I21" s="22">
        <v>6.2</v>
      </c>
      <c r="J21" s="22">
        <f t="shared" si="1"/>
        <v>0</v>
      </c>
    </row>
    <row r="22" spans="1:10" ht="19.5">
      <c r="A22" s="9" t="s">
        <v>29</v>
      </c>
      <c r="B22" s="15">
        <v>2000</v>
      </c>
      <c r="C22" s="13">
        <f t="shared" si="0"/>
        <v>2000</v>
      </c>
      <c r="D22" s="10" t="s">
        <v>35</v>
      </c>
      <c r="E22" s="30" t="s">
        <v>49</v>
      </c>
      <c r="F22" s="20"/>
      <c r="G22" s="25"/>
      <c r="H22" s="21"/>
      <c r="I22" s="22">
        <v>2.5</v>
      </c>
      <c r="J22" s="22">
        <f t="shared" si="1"/>
        <v>0</v>
      </c>
    </row>
    <row r="23" spans="1:10" ht="19.5">
      <c r="A23" s="9" t="s">
        <v>30</v>
      </c>
      <c r="B23" s="15">
        <v>800</v>
      </c>
      <c r="C23" s="13">
        <f t="shared" si="0"/>
        <v>800</v>
      </c>
      <c r="D23" s="10" t="s">
        <v>39</v>
      </c>
      <c r="E23" s="30" t="s">
        <v>50</v>
      </c>
      <c r="F23" s="20"/>
      <c r="G23" s="25"/>
      <c r="H23" s="21"/>
      <c r="I23" s="22">
        <v>3.2</v>
      </c>
      <c r="J23" s="22">
        <f t="shared" si="1"/>
        <v>0</v>
      </c>
    </row>
    <row r="24" spans="1:10" ht="19.5">
      <c r="A24" s="9" t="s">
        <v>31</v>
      </c>
      <c r="B24" s="15">
        <v>2000</v>
      </c>
      <c r="C24" s="13">
        <f t="shared" si="0"/>
        <v>2000</v>
      </c>
      <c r="D24" s="10" t="s">
        <v>44</v>
      </c>
      <c r="E24" s="30" t="s">
        <v>51</v>
      </c>
      <c r="F24" s="19"/>
      <c r="G24" s="25"/>
      <c r="H24" s="21"/>
      <c r="I24" s="22">
        <v>3.8</v>
      </c>
      <c r="J24" s="22">
        <f t="shared" si="1"/>
        <v>0</v>
      </c>
    </row>
    <row r="25" spans="1:10" ht="19.5">
      <c r="A25" s="9" t="s">
        <v>32</v>
      </c>
      <c r="B25" s="15">
        <v>2000</v>
      </c>
      <c r="C25" s="13">
        <f t="shared" si="0"/>
        <v>2000</v>
      </c>
      <c r="D25" s="10" t="s">
        <v>44</v>
      </c>
      <c r="E25" s="30" t="s">
        <v>52</v>
      </c>
      <c r="F25" s="18"/>
      <c r="G25" s="25"/>
      <c r="H25" s="21"/>
      <c r="I25" s="22">
        <v>7</v>
      </c>
      <c r="J25" s="22">
        <f t="shared" si="1"/>
        <v>0</v>
      </c>
    </row>
    <row r="26" spans="1:10" ht="19.5">
      <c r="A26" s="9" t="s">
        <v>126</v>
      </c>
      <c r="B26" s="15">
        <v>2000</v>
      </c>
      <c r="C26" s="13">
        <f t="shared" si="0"/>
        <v>2000</v>
      </c>
      <c r="D26" s="10" t="s">
        <v>44</v>
      </c>
      <c r="E26" s="30" t="s">
        <v>53</v>
      </c>
      <c r="F26" s="17"/>
      <c r="G26" s="21"/>
      <c r="H26" s="21"/>
      <c r="I26" s="22">
        <v>7</v>
      </c>
      <c r="J26" s="22">
        <f t="shared" si="1"/>
        <v>0</v>
      </c>
    </row>
    <row r="27" spans="1:10" ht="19.5">
      <c r="A27" s="9" t="s">
        <v>127</v>
      </c>
      <c r="B27" s="15">
        <v>4000</v>
      </c>
      <c r="C27" s="13">
        <f t="shared" si="0"/>
        <v>4000</v>
      </c>
      <c r="D27" s="10" t="s">
        <v>54</v>
      </c>
      <c r="E27" s="30" t="s">
        <v>55</v>
      </c>
      <c r="F27" s="18"/>
      <c r="G27" s="25">
        <v>10</v>
      </c>
      <c r="H27" s="21">
        <f t="shared" si="2"/>
        <v>0</v>
      </c>
      <c r="I27" s="22"/>
      <c r="J27" s="22"/>
    </row>
    <row r="28" spans="1:10" ht="19.5">
      <c r="A28" s="9" t="s">
        <v>128</v>
      </c>
      <c r="B28" s="15">
        <v>4000</v>
      </c>
      <c r="C28" s="13">
        <f t="shared" si="0"/>
        <v>4000</v>
      </c>
      <c r="D28" s="10" t="s">
        <v>39</v>
      </c>
      <c r="E28" s="30" t="s">
        <v>56</v>
      </c>
      <c r="F28" s="18"/>
      <c r="G28" s="25">
        <v>30</v>
      </c>
      <c r="H28" s="21">
        <f t="shared" si="2"/>
        <v>0</v>
      </c>
      <c r="I28" s="22"/>
      <c r="J28" s="22"/>
    </row>
    <row r="29" spans="1:10" ht="19.5">
      <c r="A29" s="9" t="s">
        <v>129</v>
      </c>
      <c r="B29" s="15">
        <v>4000</v>
      </c>
      <c r="C29" s="13">
        <f t="shared" si="0"/>
        <v>4000</v>
      </c>
      <c r="D29" s="10" t="s">
        <v>39</v>
      </c>
      <c r="E29" s="30" t="s">
        <v>57</v>
      </c>
      <c r="F29" s="18"/>
      <c r="G29" s="25">
        <v>15</v>
      </c>
      <c r="H29" s="21">
        <f t="shared" si="2"/>
        <v>0</v>
      </c>
      <c r="I29" s="22"/>
      <c r="J29" s="22"/>
    </row>
    <row r="30" spans="1:10" ht="19.5">
      <c r="A30" s="9" t="s">
        <v>130</v>
      </c>
      <c r="B30" s="15">
        <v>4000</v>
      </c>
      <c r="C30" s="13">
        <f t="shared" si="0"/>
        <v>4000</v>
      </c>
      <c r="D30" s="10" t="s">
        <v>39</v>
      </c>
      <c r="E30" s="30" t="s">
        <v>58</v>
      </c>
      <c r="F30" s="18"/>
      <c r="G30" s="25">
        <v>21</v>
      </c>
      <c r="H30" s="21">
        <f t="shared" si="2"/>
        <v>0</v>
      </c>
      <c r="I30" s="22"/>
      <c r="J30" s="22"/>
    </row>
    <row r="31" spans="1:10" ht="19.5">
      <c r="A31" s="9" t="s">
        <v>131</v>
      </c>
      <c r="B31" s="15">
        <v>4000</v>
      </c>
      <c r="C31" s="13">
        <f t="shared" si="0"/>
        <v>4000</v>
      </c>
      <c r="D31" s="10" t="s">
        <v>39</v>
      </c>
      <c r="E31" s="30" t="s">
        <v>59</v>
      </c>
      <c r="F31" s="19"/>
      <c r="G31" s="25">
        <v>30</v>
      </c>
      <c r="H31" s="21">
        <f t="shared" si="2"/>
        <v>0</v>
      </c>
      <c r="I31" s="22"/>
      <c r="J31" s="22"/>
    </row>
    <row r="32" spans="1:10" ht="19.5">
      <c r="A32" s="9" t="s">
        <v>132</v>
      </c>
      <c r="B32" s="15">
        <v>120</v>
      </c>
      <c r="C32" s="13">
        <f t="shared" si="0"/>
        <v>120</v>
      </c>
      <c r="D32" s="10" t="s">
        <v>15</v>
      </c>
      <c r="E32" s="30" t="s">
        <v>195</v>
      </c>
      <c r="F32" s="19"/>
      <c r="G32" s="25">
        <v>25</v>
      </c>
      <c r="H32" s="21">
        <f t="shared" si="2"/>
        <v>0</v>
      </c>
      <c r="I32" s="22"/>
      <c r="J32" s="22"/>
    </row>
    <row r="33" spans="1:10" ht="19.5">
      <c r="A33" s="9" t="s">
        <v>133</v>
      </c>
      <c r="B33" s="15">
        <v>120</v>
      </c>
      <c r="C33" s="13">
        <f t="shared" si="0"/>
        <v>120</v>
      </c>
      <c r="D33" s="10" t="s">
        <v>15</v>
      </c>
      <c r="E33" s="30" t="s">
        <v>196</v>
      </c>
      <c r="F33" s="19"/>
      <c r="G33" s="25">
        <v>30</v>
      </c>
      <c r="H33" s="21">
        <f t="shared" si="2"/>
        <v>0</v>
      </c>
      <c r="I33" s="22"/>
      <c r="J33" s="22"/>
    </row>
    <row r="34" spans="1:10" ht="19.5">
      <c r="A34" s="9" t="s">
        <v>134</v>
      </c>
      <c r="B34" s="15">
        <v>400</v>
      </c>
      <c r="C34" s="13">
        <f t="shared" si="0"/>
        <v>400</v>
      </c>
      <c r="D34" s="10" t="s">
        <v>15</v>
      </c>
      <c r="E34" s="30" t="s">
        <v>197</v>
      </c>
      <c r="F34" s="19"/>
      <c r="G34" s="25">
        <v>30</v>
      </c>
      <c r="H34" s="21">
        <f t="shared" si="2"/>
        <v>0</v>
      </c>
      <c r="I34" s="22"/>
      <c r="J34" s="22"/>
    </row>
    <row r="35" spans="1:10" ht="19.5">
      <c r="A35" s="9" t="s">
        <v>135</v>
      </c>
      <c r="B35" s="15">
        <v>120</v>
      </c>
      <c r="C35" s="13">
        <f t="shared" si="0"/>
        <v>120</v>
      </c>
      <c r="D35" s="10" t="s">
        <v>15</v>
      </c>
      <c r="E35" s="30" t="s">
        <v>210</v>
      </c>
      <c r="F35" s="19"/>
      <c r="G35" s="25">
        <v>10</v>
      </c>
      <c r="H35" s="21">
        <f t="shared" si="2"/>
        <v>0</v>
      </c>
      <c r="I35" s="22"/>
      <c r="J35" s="22"/>
    </row>
    <row r="36" spans="1:10" ht="19.5">
      <c r="A36" s="9" t="s">
        <v>136</v>
      </c>
      <c r="B36" s="15">
        <v>4000</v>
      </c>
      <c r="C36" s="13">
        <f t="shared" si="0"/>
        <v>4000</v>
      </c>
      <c r="D36" s="10" t="s">
        <v>39</v>
      </c>
      <c r="E36" s="30" t="s">
        <v>60</v>
      </c>
      <c r="F36" s="18"/>
      <c r="G36" s="25">
        <v>13</v>
      </c>
      <c r="H36" s="21">
        <f t="shared" si="2"/>
        <v>0</v>
      </c>
      <c r="I36" s="22"/>
      <c r="J36" s="22"/>
    </row>
    <row r="37" spans="1:10" ht="19.5">
      <c r="A37" s="9" t="s">
        <v>137</v>
      </c>
      <c r="B37" s="15">
        <v>3000</v>
      </c>
      <c r="C37" s="13">
        <f t="shared" si="0"/>
        <v>3000</v>
      </c>
      <c r="D37" s="10" t="s">
        <v>54</v>
      </c>
      <c r="E37" s="30" t="s">
        <v>61</v>
      </c>
      <c r="F37" s="18"/>
      <c r="G37" s="25">
        <v>28</v>
      </c>
      <c r="H37" s="21">
        <f t="shared" si="2"/>
        <v>0</v>
      </c>
      <c r="I37" s="22"/>
      <c r="J37" s="22"/>
    </row>
    <row r="38" spans="1:10" ht="19.5">
      <c r="A38" s="9" t="s">
        <v>138</v>
      </c>
      <c r="B38" s="15">
        <v>2000</v>
      </c>
      <c r="C38" s="13">
        <f t="shared" si="0"/>
        <v>2000</v>
      </c>
      <c r="D38" s="10" t="s">
        <v>39</v>
      </c>
      <c r="E38" s="30" t="s">
        <v>62</v>
      </c>
      <c r="F38" s="18"/>
      <c r="G38" s="25"/>
      <c r="H38" s="21"/>
      <c r="I38" s="22">
        <v>21</v>
      </c>
      <c r="J38" s="22">
        <f t="shared" ref="J38:J55" si="3">F38*I38</f>
        <v>0</v>
      </c>
    </row>
    <row r="39" spans="1:10" ht="19.5">
      <c r="A39" s="9" t="s">
        <v>139</v>
      </c>
      <c r="B39" s="15">
        <v>400</v>
      </c>
      <c r="C39" s="13">
        <f t="shared" si="0"/>
        <v>400</v>
      </c>
      <c r="D39" s="10" t="s">
        <v>63</v>
      </c>
      <c r="E39" s="30" t="s">
        <v>64</v>
      </c>
      <c r="F39" s="18"/>
      <c r="G39" s="25"/>
      <c r="H39" s="21"/>
      <c r="I39" s="22">
        <v>3</v>
      </c>
      <c r="J39" s="22">
        <f t="shared" si="3"/>
        <v>0</v>
      </c>
    </row>
    <row r="40" spans="1:10" ht="19.5">
      <c r="A40" s="9" t="s">
        <v>140</v>
      </c>
      <c r="B40" s="15">
        <v>400</v>
      </c>
      <c r="C40" s="13">
        <f t="shared" si="0"/>
        <v>400</v>
      </c>
      <c r="D40" s="10" t="s">
        <v>63</v>
      </c>
      <c r="E40" s="30" t="s">
        <v>65</v>
      </c>
      <c r="F40" s="18"/>
      <c r="G40" s="25"/>
      <c r="H40" s="21"/>
      <c r="I40" s="22">
        <v>9</v>
      </c>
      <c r="J40" s="22">
        <f t="shared" si="3"/>
        <v>0</v>
      </c>
    </row>
    <row r="41" spans="1:10" ht="19.5">
      <c r="A41" s="9" t="s">
        <v>142</v>
      </c>
      <c r="B41" s="15">
        <v>4000</v>
      </c>
      <c r="C41" s="13">
        <f t="shared" si="0"/>
        <v>4000</v>
      </c>
      <c r="D41" s="10" t="s">
        <v>199</v>
      </c>
      <c r="E41" s="30" t="s">
        <v>200</v>
      </c>
      <c r="F41" s="18"/>
      <c r="G41" s="25"/>
      <c r="H41" s="21"/>
      <c r="I41" s="22">
        <v>6.99</v>
      </c>
      <c r="J41" s="22">
        <f t="shared" si="3"/>
        <v>0</v>
      </c>
    </row>
    <row r="42" spans="1:10" ht="31.5">
      <c r="A42" s="9" t="s">
        <v>198</v>
      </c>
      <c r="B42" s="15">
        <v>0</v>
      </c>
      <c r="C42" s="13">
        <f t="shared" si="0"/>
        <v>0</v>
      </c>
      <c r="D42" s="10" t="s">
        <v>39</v>
      </c>
      <c r="E42" s="11" t="s">
        <v>66</v>
      </c>
      <c r="F42" s="18"/>
      <c r="G42" s="25"/>
      <c r="H42" s="21"/>
      <c r="I42" s="22"/>
      <c r="J42" s="22"/>
    </row>
    <row r="43" spans="1:10" ht="19.5">
      <c r="A43" s="9" t="s">
        <v>143</v>
      </c>
      <c r="B43" s="15">
        <v>400</v>
      </c>
      <c r="C43" s="13">
        <f t="shared" si="0"/>
        <v>400</v>
      </c>
      <c r="D43" s="10" t="s">
        <v>63</v>
      </c>
      <c r="E43" s="30" t="s">
        <v>67</v>
      </c>
      <c r="F43" s="20"/>
      <c r="G43" s="25"/>
      <c r="H43" s="21"/>
      <c r="I43" s="22">
        <v>2.8</v>
      </c>
      <c r="J43" s="22">
        <f t="shared" si="3"/>
        <v>0</v>
      </c>
    </row>
    <row r="44" spans="1:10" ht="19.5">
      <c r="A44" s="9" t="s">
        <v>144</v>
      </c>
      <c r="B44" s="15">
        <v>1000</v>
      </c>
      <c r="C44" s="13">
        <f t="shared" si="0"/>
        <v>1000</v>
      </c>
      <c r="D44" s="10" t="s">
        <v>39</v>
      </c>
      <c r="E44" s="30" t="s">
        <v>68</v>
      </c>
      <c r="F44" s="20"/>
      <c r="G44" s="25">
        <v>16</v>
      </c>
      <c r="H44" s="21">
        <f t="shared" ref="H44:H68" si="4">F44*G44</f>
        <v>0</v>
      </c>
      <c r="I44" s="22"/>
      <c r="J44" s="22"/>
    </row>
    <row r="45" spans="1:10" ht="19.5">
      <c r="A45" s="9" t="s">
        <v>145</v>
      </c>
      <c r="B45" s="15">
        <v>400</v>
      </c>
      <c r="C45" s="13">
        <f t="shared" si="0"/>
        <v>400</v>
      </c>
      <c r="D45" s="10" t="s">
        <v>63</v>
      </c>
      <c r="E45" s="30" t="s">
        <v>69</v>
      </c>
      <c r="F45" s="20"/>
      <c r="G45" s="25"/>
      <c r="H45" s="21"/>
      <c r="I45" s="22">
        <v>5</v>
      </c>
      <c r="J45" s="22">
        <f t="shared" si="3"/>
        <v>0</v>
      </c>
    </row>
    <row r="46" spans="1:10" ht="19.5">
      <c r="A46" s="9" t="s">
        <v>198</v>
      </c>
      <c r="B46" s="15">
        <v>0</v>
      </c>
      <c r="C46" s="13">
        <f t="shared" si="0"/>
        <v>0</v>
      </c>
      <c r="D46" s="10" t="s">
        <v>39</v>
      </c>
      <c r="E46" s="11" t="s">
        <v>70</v>
      </c>
      <c r="F46" s="19"/>
      <c r="G46" s="25"/>
      <c r="H46" s="21"/>
      <c r="I46" s="22"/>
      <c r="J46" s="22"/>
    </row>
    <row r="47" spans="1:10" ht="19.5">
      <c r="A47" s="9" t="s">
        <v>146</v>
      </c>
      <c r="B47" s="15">
        <v>1000</v>
      </c>
      <c r="C47" s="13">
        <f t="shared" si="0"/>
        <v>1000</v>
      </c>
      <c r="D47" s="10" t="s">
        <v>63</v>
      </c>
      <c r="E47" s="30" t="s">
        <v>71</v>
      </c>
      <c r="F47" s="18"/>
      <c r="G47" s="25"/>
      <c r="H47" s="21"/>
      <c r="I47" s="22">
        <v>5</v>
      </c>
      <c r="J47" s="22">
        <f t="shared" si="3"/>
        <v>0</v>
      </c>
    </row>
    <row r="48" spans="1:10" ht="19.5">
      <c r="A48" s="9" t="s">
        <v>198</v>
      </c>
      <c r="B48" s="15">
        <v>0</v>
      </c>
      <c r="C48" s="13">
        <f t="shared" si="0"/>
        <v>0</v>
      </c>
      <c r="D48" s="10" t="s">
        <v>39</v>
      </c>
      <c r="E48" s="11" t="s">
        <v>72</v>
      </c>
      <c r="F48" s="17"/>
      <c r="G48" s="21"/>
      <c r="H48" s="21"/>
      <c r="I48" s="22"/>
      <c r="J48" s="22"/>
    </row>
    <row r="49" spans="1:10" ht="19.5">
      <c r="A49" s="9" t="s">
        <v>147</v>
      </c>
      <c r="B49" s="15">
        <v>2000</v>
      </c>
      <c r="C49" s="13">
        <f t="shared" si="0"/>
        <v>2000</v>
      </c>
      <c r="D49" s="10" t="s">
        <v>63</v>
      </c>
      <c r="E49" s="30" t="s">
        <v>73</v>
      </c>
      <c r="F49" s="18"/>
      <c r="G49" s="25"/>
      <c r="H49" s="21"/>
      <c r="I49" s="22">
        <v>4.5</v>
      </c>
      <c r="J49" s="22">
        <f t="shared" si="3"/>
        <v>0</v>
      </c>
    </row>
    <row r="50" spans="1:10" ht="19.5">
      <c r="A50" s="9" t="s">
        <v>148</v>
      </c>
      <c r="B50" s="15">
        <v>2000</v>
      </c>
      <c r="C50" s="13">
        <f t="shared" si="0"/>
        <v>2000</v>
      </c>
      <c r="D50" s="10" t="s">
        <v>63</v>
      </c>
      <c r="E50" s="30" t="s">
        <v>74</v>
      </c>
      <c r="F50" s="18"/>
      <c r="G50" s="25"/>
      <c r="H50" s="21"/>
      <c r="I50" s="22">
        <v>5.4</v>
      </c>
      <c r="J50" s="22">
        <f t="shared" si="3"/>
        <v>0</v>
      </c>
    </row>
    <row r="51" spans="1:10" ht="19.5">
      <c r="A51" s="9" t="s">
        <v>149</v>
      </c>
      <c r="B51" s="15">
        <v>1000</v>
      </c>
      <c r="C51" s="13">
        <f t="shared" si="0"/>
        <v>1000</v>
      </c>
      <c r="D51" s="10" t="s">
        <v>39</v>
      </c>
      <c r="E51" s="30" t="s">
        <v>75</v>
      </c>
      <c r="F51" s="18"/>
      <c r="G51" s="25">
        <v>7</v>
      </c>
      <c r="H51" s="21">
        <f t="shared" si="4"/>
        <v>0</v>
      </c>
      <c r="I51" s="22"/>
      <c r="J51" s="22"/>
    </row>
    <row r="52" spans="1:10" ht="31.5">
      <c r="A52" s="9" t="s">
        <v>198</v>
      </c>
      <c r="B52" s="15">
        <v>0</v>
      </c>
      <c r="C52" s="13">
        <f t="shared" si="0"/>
        <v>0</v>
      </c>
      <c r="D52" s="10" t="s">
        <v>63</v>
      </c>
      <c r="E52" s="11" t="s">
        <v>76</v>
      </c>
      <c r="F52" s="18"/>
      <c r="G52" s="25"/>
      <c r="H52" s="21"/>
      <c r="I52" s="22"/>
      <c r="J52" s="22"/>
    </row>
    <row r="53" spans="1:10" ht="19.5">
      <c r="A53" s="9" t="s">
        <v>151</v>
      </c>
      <c r="B53" s="15">
        <v>500</v>
      </c>
      <c r="C53" s="13">
        <f t="shared" si="0"/>
        <v>500</v>
      </c>
      <c r="D53" s="10" t="s">
        <v>39</v>
      </c>
      <c r="E53" s="30" t="s">
        <v>77</v>
      </c>
      <c r="F53" s="19"/>
      <c r="G53" s="25"/>
      <c r="H53" s="21"/>
      <c r="I53" s="22">
        <v>12</v>
      </c>
      <c r="J53" s="22">
        <f t="shared" si="3"/>
        <v>0</v>
      </c>
    </row>
    <row r="54" spans="1:10" ht="19.5">
      <c r="A54" s="9" t="s">
        <v>152</v>
      </c>
      <c r="B54" s="15">
        <v>500</v>
      </c>
      <c r="C54" s="13">
        <f t="shared" si="0"/>
        <v>500</v>
      </c>
      <c r="D54" s="10" t="s">
        <v>63</v>
      </c>
      <c r="E54" s="30" t="s">
        <v>78</v>
      </c>
      <c r="F54" s="18"/>
      <c r="G54" s="25">
        <v>1.7</v>
      </c>
      <c r="H54" s="21">
        <f t="shared" si="4"/>
        <v>0</v>
      </c>
      <c r="I54" s="22"/>
      <c r="J54" s="22"/>
    </row>
    <row r="55" spans="1:10" ht="47.25">
      <c r="A55" s="9" t="s">
        <v>153</v>
      </c>
      <c r="B55" s="15">
        <v>500</v>
      </c>
      <c r="C55" s="13">
        <f t="shared" si="0"/>
        <v>500</v>
      </c>
      <c r="D55" s="10" t="s">
        <v>39</v>
      </c>
      <c r="E55" s="30" t="s">
        <v>79</v>
      </c>
      <c r="F55" s="18"/>
      <c r="G55" s="25"/>
      <c r="H55" s="21"/>
      <c r="I55" s="22">
        <v>3.6</v>
      </c>
      <c r="J55" s="22">
        <f t="shared" si="3"/>
        <v>0</v>
      </c>
    </row>
    <row r="56" spans="1:10" ht="19.5">
      <c r="A56" s="9" t="s">
        <v>154</v>
      </c>
      <c r="B56" s="15">
        <v>100</v>
      </c>
      <c r="C56" s="13">
        <f t="shared" si="0"/>
        <v>100</v>
      </c>
      <c r="D56" s="10" t="s">
        <v>63</v>
      </c>
      <c r="E56" s="30" t="s">
        <v>201</v>
      </c>
      <c r="F56" s="18"/>
      <c r="G56" s="25">
        <v>3.5</v>
      </c>
      <c r="H56" s="21">
        <f t="shared" si="4"/>
        <v>0</v>
      </c>
      <c r="I56" s="22"/>
      <c r="J56" s="22"/>
    </row>
    <row r="57" spans="1:10" ht="19.5">
      <c r="A57" s="9" t="s">
        <v>155</v>
      </c>
      <c r="B57" s="15">
        <v>100</v>
      </c>
      <c r="C57" s="13">
        <f t="shared" si="0"/>
        <v>100</v>
      </c>
      <c r="D57" s="10" t="s">
        <v>63</v>
      </c>
      <c r="E57" s="30" t="s">
        <v>202</v>
      </c>
      <c r="F57" s="18"/>
      <c r="G57" s="25">
        <v>3.5</v>
      </c>
      <c r="H57" s="21">
        <f t="shared" si="4"/>
        <v>0</v>
      </c>
      <c r="I57" s="22"/>
      <c r="J57" s="22"/>
    </row>
    <row r="58" spans="1:10" ht="19.5">
      <c r="A58" s="9" t="s">
        <v>156</v>
      </c>
      <c r="B58" s="15">
        <v>100</v>
      </c>
      <c r="C58" s="13">
        <f t="shared" si="0"/>
        <v>100</v>
      </c>
      <c r="D58" s="10" t="s">
        <v>63</v>
      </c>
      <c r="E58" s="30" t="s">
        <v>203</v>
      </c>
      <c r="F58" s="18"/>
      <c r="G58" s="25">
        <v>3.5</v>
      </c>
      <c r="H58" s="21">
        <f t="shared" si="4"/>
        <v>0</v>
      </c>
      <c r="I58" s="22"/>
      <c r="J58" s="22"/>
    </row>
    <row r="59" spans="1:10" ht="63">
      <c r="A59" s="9" t="s">
        <v>157</v>
      </c>
      <c r="B59" s="15">
        <v>200</v>
      </c>
      <c r="C59" s="13">
        <f t="shared" si="0"/>
        <v>200</v>
      </c>
      <c r="D59" s="10" t="s">
        <v>63</v>
      </c>
      <c r="E59" s="30" t="s">
        <v>80</v>
      </c>
      <c r="F59" s="18"/>
      <c r="G59" s="25">
        <v>3.4</v>
      </c>
      <c r="H59" s="21">
        <f t="shared" si="4"/>
        <v>0</v>
      </c>
      <c r="I59" s="22">
        <v>0</v>
      </c>
      <c r="J59" s="22">
        <f t="shared" ref="J59:J90" si="5">F59*I59</f>
        <v>0</v>
      </c>
    </row>
    <row r="60" spans="1:10" ht="19.5">
      <c r="A60" s="9" t="s">
        <v>158</v>
      </c>
      <c r="B60" s="15">
        <v>200</v>
      </c>
      <c r="C60" s="13">
        <f t="shared" si="0"/>
        <v>200</v>
      </c>
      <c r="D60" s="10" t="s">
        <v>15</v>
      </c>
      <c r="E60" s="30" t="s">
        <v>81</v>
      </c>
      <c r="F60" s="18"/>
      <c r="G60" s="25"/>
      <c r="H60" s="21"/>
      <c r="I60" s="22">
        <v>27</v>
      </c>
      <c r="J60" s="22">
        <f t="shared" si="5"/>
        <v>0</v>
      </c>
    </row>
    <row r="61" spans="1:10" ht="63">
      <c r="A61" s="9" t="s">
        <v>159</v>
      </c>
      <c r="B61" s="15">
        <v>400</v>
      </c>
      <c r="C61" s="13">
        <f t="shared" si="0"/>
        <v>400</v>
      </c>
      <c r="D61" s="10" t="s">
        <v>82</v>
      </c>
      <c r="E61" s="30" t="s">
        <v>83</v>
      </c>
      <c r="F61" s="18"/>
      <c r="G61" s="25"/>
      <c r="H61" s="21"/>
      <c r="I61" s="22">
        <v>35</v>
      </c>
      <c r="J61" s="22">
        <f t="shared" si="5"/>
        <v>0</v>
      </c>
    </row>
    <row r="62" spans="1:10" ht="63">
      <c r="A62" s="9" t="s">
        <v>160</v>
      </c>
      <c r="B62" s="15">
        <v>400</v>
      </c>
      <c r="C62" s="13">
        <f t="shared" si="0"/>
        <v>400</v>
      </c>
      <c r="D62" s="10" t="s">
        <v>82</v>
      </c>
      <c r="E62" s="30" t="s">
        <v>84</v>
      </c>
      <c r="F62" s="18"/>
      <c r="G62" s="25"/>
      <c r="H62" s="21"/>
      <c r="I62" s="22">
        <v>35</v>
      </c>
      <c r="J62" s="22">
        <f t="shared" si="5"/>
        <v>0</v>
      </c>
    </row>
    <row r="63" spans="1:10" ht="31.5">
      <c r="A63" s="9" t="s">
        <v>198</v>
      </c>
      <c r="B63" s="15">
        <v>0</v>
      </c>
      <c r="C63" s="13">
        <f t="shared" si="0"/>
        <v>0</v>
      </c>
      <c r="D63" s="10" t="s">
        <v>54</v>
      </c>
      <c r="E63" s="11" t="s">
        <v>85</v>
      </c>
      <c r="F63" s="20"/>
      <c r="G63" s="25"/>
      <c r="H63" s="21"/>
      <c r="I63" s="22"/>
      <c r="J63" s="22"/>
    </row>
    <row r="64" spans="1:10" ht="47.25">
      <c r="A64" s="9" t="s">
        <v>162</v>
      </c>
      <c r="B64" s="15">
        <v>100</v>
      </c>
      <c r="C64" s="13">
        <f t="shared" si="0"/>
        <v>100</v>
      </c>
      <c r="D64" s="10" t="s">
        <v>39</v>
      </c>
      <c r="E64" s="30" t="s">
        <v>86</v>
      </c>
      <c r="F64" s="20"/>
      <c r="G64" s="25"/>
      <c r="H64" s="21"/>
      <c r="I64" s="22">
        <v>4.5</v>
      </c>
      <c r="J64" s="22">
        <f t="shared" si="5"/>
        <v>0</v>
      </c>
    </row>
    <row r="65" spans="1:10" ht="19.5">
      <c r="A65" s="9" t="s">
        <v>163</v>
      </c>
      <c r="B65" s="15">
        <v>100</v>
      </c>
      <c r="C65" s="13">
        <f t="shared" si="0"/>
        <v>100</v>
      </c>
      <c r="D65" s="10" t="s">
        <v>39</v>
      </c>
      <c r="E65" s="30" t="s">
        <v>87</v>
      </c>
      <c r="F65" s="20"/>
      <c r="G65" s="25">
        <v>12.75</v>
      </c>
      <c r="H65" s="21">
        <f t="shared" si="4"/>
        <v>0</v>
      </c>
      <c r="I65" s="22"/>
      <c r="J65" s="22"/>
    </row>
    <row r="66" spans="1:10" ht="19.5">
      <c r="A66" s="9" t="s">
        <v>164</v>
      </c>
      <c r="B66" s="15">
        <v>50</v>
      </c>
      <c r="C66" s="13">
        <f t="shared" si="0"/>
        <v>50</v>
      </c>
      <c r="D66" s="10" t="s">
        <v>15</v>
      </c>
      <c r="E66" s="30" t="s">
        <v>88</v>
      </c>
      <c r="F66" s="19"/>
      <c r="G66" s="25">
        <v>3.28</v>
      </c>
      <c r="H66" s="21">
        <f t="shared" si="4"/>
        <v>0</v>
      </c>
      <c r="I66" s="22"/>
      <c r="J66" s="22"/>
    </row>
    <row r="67" spans="1:10" ht="47.25">
      <c r="A67" s="9" t="s">
        <v>198</v>
      </c>
      <c r="B67" s="15">
        <v>0</v>
      </c>
      <c r="C67" s="13">
        <f t="shared" si="0"/>
        <v>0</v>
      </c>
      <c r="D67" s="10" t="s">
        <v>89</v>
      </c>
      <c r="E67" s="11" t="s">
        <v>90</v>
      </c>
      <c r="F67" s="18"/>
      <c r="G67" s="25"/>
      <c r="H67" s="21"/>
      <c r="I67" s="22"/>
      <c r="J67" s="22"/>
    </row>
    <row r="68" spans="1:10" ht="31.5">
      <c r="A68" s="9" t="s">
        <v>165</v>
      </c>
      <c r="B68" s="15">
        <v>80</v>
      </c>
      <c r="C68" s="13">
        <f t="shared" si="0"/>
        <v>80</v>
      </c>
      <c r="D68" s="10" t="s">
        <v>63</v>
      </c>
      <c r="E68" s="31" t="s">
        <v>91</v>
      </c>
      <c r="F68" s="17"/>
      <c r="G68" s="21">
        <v>5.5</v>
      </c>
      <c r="H68" s="21">
        <f t="shared" si="4"/>
        <v>0</v>
      </c>
      <c r="I68" s="22"/>
      <c r="J68" s="22">
        <f t="shared" si="5"/>
        <v>0</v>
      </c>
    </row>
    <row r="69" spans="1:10" ht="31.5">
      <c r="A69" s="9" t="s">
        <v>166</v>
      </c>
      <c r="B69" s="15">
        <v>500</v>
      </c>
      <c r="C69" s="13">
        <f t="shared" si="0"/>
        <v>500</v>
      </c>
      <c r="D69" s="10" t="s">
        <v>63</v>
      </c>
      <c r="E69" s="30" t="s">
        <v>92</v>
      </c>
      <c r="F69" s="18"/>
      <c r="G69" s="25"/>
      <c r="H69" s="21"/>
      <c r="I69" s="22">
        <v>3.2</v>
      </c>
      <c r="J69" s="22">
        <f t="shared" si="5"/>
        <v>0</v>
      </c>
    </row>
    <row r="70" spans="1:10" ht="31.5">
      <c r="A70" s="9" t="s">
        <v>167</v>
      </c>
      <c r="B70" s="15">
        <v>500</v>
      </c>
      <c r="C70" s="13">
        <f t="shared" si="0"/>
        <v>500</v>
      </c>
      <c r="D70" s="10" t="s">
        <v>63</v>
      </c>
      <c r="E70" s="30" t="s">
        <v>93</v>
      </c>
      <c r="F70" s="18"/>
      <c r="G70" s="25"/>
      <c r="H70" s="21"/>
      <c r="I70" s="22">
        <v>4.9000000000000004</v>
      </c>
      <c r="J70" s="22">
        <f t="shared" si="5"/>
        <v>0</v>
      </c>
    </row>
    <row r="71" spans="1:10" ht="31.5">
      <c r="A71" s="9" t="s">
        <v>168</v>
      </c>
      <c r="B71" s="15">
        <v>50</v>
      </c>
      <c r="C71" s="13">
        <f t="shared" si="0"/>
        <v>50</v>
      </c>
      <c r="D71" s="10" t="s">
        <v>63</v>
      </c>
      <c r="E71" s="31" t="s">
        <v>94</v>
      </c>
      <c r="F71" s="18"/>
      <c r="G71" s="25"/>
      <c r="H71" s="21"/>
      <c r="I71" s="22">
        <v>11</v>
      </c>
      <c r="J71" s="22">
        <f t="shared" si="5"/>
        <v>0</v>
      </c>
    </row>
    <row r="72" spans="1:10" ht="31.5">
      <c r="A72" s="9" t="s">
        <v>169</v>
      </c>
      <c r="B72" s="15">
        <v>600</v>
      </c>
      <c r="C72" s="13">
        <f t="shared" si="0"/>
        <v>600</v>
      </c>
      <c r="D72" s="10" t="s">
        <v>63</v>
      </c>
      <c r="E72" s="30" t="s">
        <v>95</v>
      </c>
      <c r="F72" s="18"/>
      <c r="G72" s="25"/>
      <c r="H72" s="21"/>
      <c r="I72" s="22">
        <v>2.2999999999999998</v>
      </c>
      <c r="J72" s="22">
        <f t="shared" si="5"/>
        <v>0</v>
      </c>
    </row>
    <row r="73" spans="1:10" ht="31.5">
      <c r="A73" s="9" t="s">
        <v>170</v>
      </c>
      <c r="B73" s="15">
        <v>200</v>
      </c>
      <c r="C73" s="13">
        <f t="shared" si="0"/>
        <v>200</v>
      </c>
      <c r="D73" s="10" t="s">
        <v>63</v>
      </c>
      <c r="E73" s="30" t="s">
        <v>96</v>
      </c>
      <c r="F73" s="19"/>
      <c r="G73" s="25"/>
      <c r="H73" s="21"/>
      <c r="I73" s="22">
        <v>3.5</v>
      </c>
      <c r="J73" s="22">
        <f t="shared" si="5"/>
        <v>0</v>
      </c>
    </row>
    <row r="74" spans="1:10" ht="31.5">
      <c r="A74" s="9" t="s">
        <v>171</v>
      </c>
      <c r="B74" s="15">
        <v>200</v>
      </c>
      <c r="C74" s="13">
        <f t="shared" ref="C74:C99" si="6">B74-F74</f>
        <v>200</v>
      </c>
      <c r="D74" s="10" t="s">
        <v>63</v>
      </c>
      <c r="E74" s="30" t="s">
        <v>97</v>
      </c>
      <c r="F74" s="18"/>
      <c r="G74" s="25"/>
      <c r="H74" s="21"/>
      <c r="I74" s="22">
        <v>4.5</v>
      </c>
      <c r="J74" s="22">
        <f t="shared" si="5"/>
        <v>0</v>
      </c>
    </row>
    <row r="75" spans="1:10" ht="31.5">
      <c r="A75" s="9" t="s">
        <v>172</v>
      </c>
      <c r="B75" s="15">
        <v>200</v>
      </c>
      <c r="C75" s="13">
        <f t="shared" si="6"/>
        <v>200</v>
      </c>
      <c r="D75" s="10" t="s">
        <v>63</v>
      </c>
      <c r="E75" s="30" t="s">
        <v>98</v>
      </c>
      <c r="F75" s="18"/>
      <c r="G75" s="25"/>
      <c r="H75" s="21"/>
      <c r="I75" s="22">
        <v>4.5</v>
      </c>
      <c r="J75" s="22">
        <f t="shared" si="5"/>
        <v>0</v>
      </c>
    </row>
    <row r="76" spans="1:10" ht="31.5">
      <c r="A76" s="9" t="s">
        <v>173</v>
      </c>
      <c r="B76" s="15">
        <v>200</v>
      </c>
      <c r="C76" s="13">
        <f t="shared" si="6"/>
        <v>200</v>
      </c>
      <c r="D76" s="10" t="s">
        <v>63</v>
      </c>
      <c r="E76" s="30" t="s">
        <v>99</v>
      </c>
      <c r="F76" s="18"/>
      <c r="G76" s="25"/>
      <c r="H76" s="21"/>
      <c r="I76" s="22">
        <v>4.5</v>
      </c>
      <c r="J76" s="22">
        <f t="shared" si="5"/>
        <v>0</v>
      </c>
    </row>
    <row r="77" spans="1:10" ht="31.5">
      <c r="A77" s="9" t="s">
        <v>174</v>
      </c>
      <c r="B77" s="15">
        <v>200</v>
      </c>
      <c r="C77" s="13">
        <f t="shared" si="6"/>
        <v>200</v>
      </c>
      <c r="D77" s="10" t="s">
        <v>63</v>
      </c>
      <c r="E77" s="30" t="s">
        <v>100</v>
      </c>
      <c r="F77" s="18"/>
      <c r="G77" s="25"/>
      <c r="H77" s="21"/>
      <c r="I77" s="22">
        <v>4</v>
      </c>
      <c r="J77" s="22">
        <f t="shared" si="5"/>
        <v>0</v>
      </c>
    </row>
    <row r="78" spans="1:10" ht="19.5">
      <c r="A78" s="9" t="s">
        <v>175</v>
      </c>
      <c r="B78" s="15">
        <v>400</v>
      </c>
      <c r="C78" s="13">
        <f t="shared" si="6"/>
        <v>400</v>
      </c>
      <c r="D78" s="10" t="s">
        <v>44</v>
      </c>
      <c r="E78" s="30" t="s">
        <v>101</v>
      </c>
      <c r="F78" s="18"/>
      <c r="G78" s="25"/>
      <c r="H78" s="21"/>
      <c r="I78" s="22">
        <v>4</v>
      </c>
      <c r="J78" s="22">
        <f t="shared" si="5"/>
        <v>0</v>
      </c>
    </row>
    <row r="79" spans="1:10" ht="47.25">
      <c r="A79" s="9" t="s">
        <v>176</v>
      </c>
      <c r="B79" s="15">
        <v>100</v>
      </c>
      <c r="C79" s="13">
        <f t="shared" si="6"/>
        <v>100</v>
      </c>
      <c r="D79" s="10" t="s">
        <v>102</v>
      </c>
      <c r="E79" s="30" t="s">
        <v>103</v>
      </c>
      <c r="F79" s="18"/>
      <c r="G79" s="25"/>
      <c r="H79" s="21"/>
      <c r="I79" s="22">
        <v>20</v>
      </c>
      <c r="J79" s="22">
        <f t="shared" si="5"/>
        <v>0</v>
      </c>
    </row>
    <row r="80" spans="1:10" ht="19.5">
      <c r="A80" s="9" t="s">
        <v>177</v>
      </c>
      <c r="B80" s="15">
        <v>100</v>
      </c>
      <c r="C80" s="13">
        <f t="shared" si="6"/>
        <v>100</v>
      </c>
      <c r="D80" s="10" t="s">
        <v>102</v>
      </c>
      <c r="E80" s="30" t="s">
        <v>104</v>
      </c>
      <c r="F80" s="20"/>
      <c r="G80" s="25"/>
      <c r="H80" s="21"/>
      <c r="I80" s="22"/>
      <c r="J80" s="22"/>
    </row>
    <row r="81" spans="1:10" ht="19.5">
      <c r="A81" s="9" t="s">
        <v>178</v>
      </c>
      <c r="B81" s="15">
        <v>800</v>
      </c>
      <c r="C81" s="13">
        <f t="shared" si="6"/>
        <v>800</v>
      </c>
      <c r="D81" s="10" t="s">
        <v>63</v>
      </c>
      <c r="E81" s="30" t="s">
        <v>105</v>
      </c>
      <c r="F81" s="20"/>
      <c r="G81" s="25"/>
      <c r="H81" s="21"/>
      <c r="I81" s="22">
        <v>11.8</v>
      </c>
      <c r="J81" s="22">
        <f t="shared" si="5"/>
        <v>0</v>
      </c>
    </row>
    <row r="82" spans="1:10" ht="47.25">
      <c r="A82" s="9" t="s">
        <v>179</v>
      </c>
      <c r="B82" s="15">
        <v>100</v>
      </c>
      <c r="C82" s="13">
        <f t="shared" si="6"/>
        <v>100</v>
      </c>
      <c r="D82" s="10" t="s">
        <v>44</v>
      </c>
      <c r="E82" s="30" t="s">
        <v>106</v>
      </c>
      <c r="F82" s="20"/>
      <c r="G82" s="25"/>
      <c r="H82" s="21"/>
      <c r="I82" s="22">
        <v>15</v>
      </c>
      <c r="J82" s="22">
        <f t="shared" si="5"/>
        <v>0</v>
      </c>
    </row>
    <row r="83" spans="1:10" ht="63">
      <c r="A83" s="9" t="s">
        <v>180</v>
      </c>
      <c r="B83" s="15">
        <v>100</v>
      </c>
      <c r="C83" s="13">
        <f t="shared" si="6"/>
        <v>100</v>
      </c>
      <c r="D83" s="10" t="s">
        <v>44</v>
      </c>
      <c r="E83" s="30" t="s">
        <v>107</v>
      </c>
      <c r="F83" s="19"/>
      <c r="G83" s="25"/>
      <c r="H83" s="21"/>
      <c r="I83" s="22">
        <v>13</v>
      </c>
      <c r="J83" s="22">
        <f t="shared" si="5"/>
        <v>0</v>
      </c>
    </row>
    <row r="84" spans="1:10" ht="19.5">
      <c r="A84" s="9" t="s">
        <v>181</v>
      </c>
      <c r="B84" s="15">
        <v>100</v>
      </c>
      <c r="C84" s="13">
        <f t="shared" si="6"/>
        <v>100</v>
      </c>
      <c r="D84" s="10" t="s">
        <v>44</v>
      </c>
      <c r="E84" s="30" t="s">
        <v>108</v>
      </c>
      <c r="F84" s="18"/>
      <c r="G84" s="25">
        <v>5.5</v>
      </c>
      <c r="H84" s="21">
        <f t="shared" ref="H84:H86" si="7">F84*G84</f>
        <v>0</v>
      </c>
      <c r="I84" s="22"/>
      <c r="J84" s="22">
        <f t="shared" si="5"/>
        <v>0</v>
      </c>
    </row>
    <row r="85" spans="1:10" ht="19.5">
      <c r="A85" s="9" t="s">
        <v>182</v>
      </c>
      <c r="B85" s="15">
        <v>100</v>
      </c>
      <c r="C85" s="13">
        <f t="shared" si="6"/>
        <v>100</v>
      </c>
      <c r="D85" s="10" t="s">
        <v>44</v>
      </c>
      <c r="E85" s="30" t="s">
        <v>109</v>
      </c>
      <c r="F85" s="17"/>
      <c r="G85" s="21">
        <v>0</v>
      </c>
      <c r="H85" s="21">
        <f t="shared" si="7"/>
        <v>0</v>
      </c>
      <c r="I85" s="22">
        <v>20</v>
      </c>
      <c r="J85" s="22">
        <f t="shared" si="5"/>
        <v>0</v>
      </c>
    </row>
    <row r="86" spans="1:10" ht="19.5">
      <c r="A86" s="9" t="s">
        <v>183</v>
      </c>
      <c r="B86" s="15">
        <v>100</v>
      </c>
      <c r="C86" s="13">
        <f t="shared" si="6"/>
        <v>100</v>
      </c>
      <c r="D86" s="10" t="s">
        <v>44</v>
      </c>
      <c r="E86" s="30" t="s">
        <v>110</v>
      </c>
      <c r="F86" s="18"/>
      <c r="G86" s="25">
        <v>70</v>
      </c>
      <c r="H86" s="21">
        <f t="shared" si="7"/>
        <v>0</v>
      </c>
      <c r="I86" s="22"/>
      <c r="J86" s="22">
        <f t="shared" si="5"/>
        <v>0</v>
      </c>
    </row>
    <row r="87" spans="1:10" ht="19.5">
      <c r="A87" s="9" t="s">
        <v>184</v>
      </c>
      <c r="B87" s="15">
        <v>400</v>
      </c>
      <c r="C87" s="13">
        <f t="shared" si="6"/>
        <v>400</v>
      </c>
      <c r="D87" s="10" t="s">
        <v>44</v>
      </c>
      <c r="E87" s="30" t="s">
        <v>111</v>
      </c>
      <c r="F87" s="18"/>
      <c r="G87" s="25"/>
      <c r="H87" s="21"/>
      <c r="I87" s="22">
        <v>3.6</v>
      </c>
      <c r="J87" s="22">
        <f t="shared" si="5"/>
        <v>0</v>
      </c>
    </row>
    <row r="88" spans="1:10" ht="19.5">
      <c r="A88" s="9" t="s">
        <v>185</v>
      </c>
      <c r="B88" s="15">
        <v>500</v>
      </c>
      <c r="C88" s="13">
        <f t="shared" si="6"/>
        <v>500</v>
      </c>
      <c r="D88" s="10" t="s">
        <v>39</v>
      </c>
      <c r="E88" s="30" t="s">
        <v>112</v>
      </c>
      <c r="F88" s="18"/>
      <c r="G88" s="25"/>
      <c r="H88" s="21"/>
      <c r="I88" s="22">
        <v>6.5</v>
      </c>
      <c r="J88" s="22">
        <f t="shared" si="5"/>
        <v>0</v>
      </c>
    </row>
    <row r="89" spans="1:10" ht="19.5">
      <c r="A89" s="9" t="s">
        <v>186</v>
      </c>
      <c r="B89" s="15">
        <v>400</v>
      </c>
      <c r="C89" s="13">
        <f t="shared" si="6"/>
        <v>400</v>
      </c>
      <c r="D89" s="10" t="s">
        <v>102</v>
      </c>
      <c r="E89" s="30" t="s">
        <v>113</v>
      </c>
      <c r="F89" s="18"/>
      <c r="G89" s="25"/>
      <c r="H89" s="21"/>
      <c r="I89" s="22">
        <v>2</v>
      </c>
      <c r="J89" s="22">
        <f t="shared" si="5"/>
        <v>0</v>
      </c>
    </row>
    <row r="90" spans="1:10" ht="19.5">
      <c r="A90" s="9" t="s">
        <v>187</v>
      </c>
      <c r="B90" s="15">
        <v>400</v>
      </c>
      <c r="C90" s="13">
        <f t="shared" si="6"/>
        <v>400</v>
      </c>
      <c r="D90" s="10" t="s">
        <v>63</v>
      </c>
      <c r="E90" s="30" t="s">
        <v>114</v>
      </c>
      <c r="F90" s="19"/>
      <c r="G90" s="25"/>
      <c r="H90" s="21"/>
      <c r="I90" s="22">
        <v>9</v>
      </c>
      <c r="J90" s="22">
        <f t="shared" si="5"/>
        <v>0</v>
      </c>
    </row>
    <row r="91" spans="1:10" ht="19.5">
      <c r="A91" s="9" t="s">
        <v>188</v>
      </c>
      <c r="B91" s="16">
        <v>400</v>
      </c>
      <c r="C91" s="13">
        <f t="shared" si="6"/>
        <v>400</v>
      </c>
      <c r="D91" s="10" t="s">
        <v>44</v>
      </c>
      <c r="E91" s="30" t="s">
        <v>204</v>
      </c>
      <c r="F91" s="18"/>
      <c r="G91" s="25">
        <v>0.7</v>
      </c>
      <c r="H91" s="21"/>
      <c r="I91" s="22"/>
      <c r="J91" s="22"/>
    </row>
    <row r="92" spans="1:10" ht="19.5">
      <c r="A92" s="9" t="s">
        <v>189</v>
      </c>
      <c r="B92" s="15">
        <v>500</v>
      </c>
      <c r="C92" s="13">
        <f t="shared" si="6"/>
        <v>500</v>
      </c>
      <c r="D92" s="10" t="s">
        <v>63</v>
      </c>
      <c r="E92" s="30" t="s">
        <v>116</v>
      </c>
      <c r="F92" s="18"/>
      <c r="G92" s="25"/>
      <c r="H92" s="21"/>
      <c r="I92" s="22">
        <v>2.5</v>
      </c>
      <c r="J92" s="22">
        <f t="shared" ref="J92:J99" si="8">F92*I92</f>
        <v>0</v>
      </c>
    </row>
    <row r="93" spans="1:10" ht="19.5">
      <c r="A93" s="9" t="s">
        <v>190</v>
      </c>
      <c r="B93" s="15">
        <v>100</v>
      </c>
      <c r="C93" s="13">
        <f t="shared" si="6"/>
        <v>100</v>
      </c>
      <c r="D93" s="10" t="s">
        <v>63</v>
      </c>
      <c r="E93" s="30" t="s">
        <v>117</v>
      </c>
      <c r="F93" s="18"/>
      <c r="G93" s="25"/>
      <c r="H93" s="21"/>
      <c r="I93" s="22"/>
      <c r="J93" s="22"/>
    </row>
    <row r="94" spans="1:10" ht="19.5">
      <c r="A94" s="9" t="s">
        <v>191</v>
      </c>
      <c r="B94" s="15">
        <v>500</v>
      </c>
      <c r="C94" s="13">
        <f t="shared" si="6"/>
        <v>500</v>
      </c>
      <c r="D94" s="10" t="s">
        <v>44</v>
      </c>
      <c r="E94" s="30" t="s">
        <v>118</v>
      </c>
      <c r="F94" s="18"/>
      <c r="G94" s="25"/>
      <c r="H94" s="21"/>
      <c r="I94" s="22">
        <v>4</v>
      </c>
      <c r="J94" s="22">
        <f t="shared" si="8"/>
        <v>0</v>
      </c>
    </row>
    <row r="95" spans="1:10" ht="19.5">
      <c r="A95" s="9" t="s">
        <v>206</v>
      </c>
      <c r="B95" s="15">
        <v>100</v>
      </c>
      <c r="C95" s="13">
        <f t="shared" si="6"/>
        <v>100</v>
      </c>
      <c r="D95" s="10" t="s">
        <v>102</v>
      </c>
      <c r="E95" s="30" t="s">
        <v>119</v>
      </c>
      <c r="F95" s="18"/>
      <c r="G95" s="25">
        <v>3.9</v>
      </c>
      <c r="H95" s="21">
        <f t="shared" ref="H95:H99" si="9">F95*G95</f>
        <v>0</v>
      </c>
      <c r="I95" s="22"/>
      <c r="J95" s="22">
        <f t="shared" si="8"/>
        <v>0</v>
      </c>
    </row>
    <row r="96" spans="1:10" ht="31.5">
      <c r="A96" s="9" t="s">
        <v>207</v>
      </c>
      <c r="B96" s="16">
        <v>200</v>
      </c>
      <c r="C96" s="13">
        <f t="shared" si="6"/>
        <v>200</v>
      </c>
      <c r="D96" s="10" t="s">
        <v>120</v>
      </c>
      <c r="E96" s="30" t="s">
        <v>121</v>
      </c>
      <c r="F96" s="18"/>
      <c r="G96" s="25">
        <v>5.9</v>
      </c>
      <c r="H96" s="21">
        <f t="shared" si="9"/>
        <v>0</v>
      </c>
      <c r="I96" s="22"/>
      <c r="J96" s="22">
        <f t="shared" si="8"/>
        <v>0</v>
      </c>
    </row>
    <row r="97" spans="1:10" ht="19.5">
      <c r="A97" s="9" t="s">
        <v>208</v>
      </c>
      <c r="B97" s="15">
        <v>400</v>
      </c>
      <c r="C97" s="13">
        <f t="shared" si="6"/>
        <v>400</v>
      </c>
      <c r="D97" s="10" t="s">
        <v>44</v>
      </c>
      <c r="E97" s="30" t="s">
        <v>122</v>
      </c>
      <c r="F97" s="20"/>
      <c r="G97" s="25">
        <v>7</v>
      </c>
      <c r="H97" s="21">
        <f t="shared" si="9"/>
        <v>0</v>
      </c>
      <c r="I97" s="22"/>
      <c r="J97" s="22">
        <f t="shared" si="8"/>
        <v>0</v>
      </c>
    </row>
    <row r="98" spans="1:10" ht="19.5">
      <c r="A98" s="9" t="s">
        <v>205</v>
      </c>
      <c r="B98" s="15">
        <v>200</v>
      </c>
      <c r="C98" s="13">
        <f t="shared" si="6"/>
        <v>200</v>
      </c>
      <c r="D98" s="10" t="s">
        <v>44</v>
      </c>
      <c r="E98" s="30" t="s">
        <v>123</v>
      </c>
      <c r="F98" s="20"/>
      <c r="G98" s="25">
        <v>4</v>
      </c>
      <c r="H98" s="21">
        <f t="shared" si="9"/>
        <v>0</v>
      </c>
      <c r="I98" s="22"/>
      <c r="J98" s="22">
        <f t="shared" si="8"/>
        <v>0</v>
      </c>
    </row>
    <row r="99" spans="1:10" ht="19.5">
      <c r="A99" s="9" t="s">
        <v>209</v>
      </c>
      <c r="B99" s="15">
        <v>100</v>
      </c>
      <c r="C99" s="13">
        <f t="shared" si="6"/>
        <v>100</v>
      </c>
      <c r="D99" s="10" t="s">
        <v>44</v>
      </c>
      <c r="E99" s="30" t="s">
        <v>124</v>
      </c>
      <c r="F99" s="20"/>
      <c r="G99" s="25">
        <v>6.99</v>
      </c>
      <c r="H99" s="21">
        <f t="shared" si="9"/>
        <v>0</v>
      </c>
      <c r="I99" s="22"/>
      <c r="J99" s="22">
        <f t="shared" si="8"/>
        <v>0</v>
      </c>
    </row>
    <row r="100" spans="1:10" ht="19.5">
      <c r="A100" s="43">
        <v>0</v>
      </c>
      <c r="B100" s="43"/>
      <c r="C100" s="43"/>
      <c r="D100" s="43"/>
      <c r="E100" s="43"/>
      <c r="F100" s="44"/>
      <c r="G100" s="45">
        <f>SUM(H9:H99)</f>
        <v>0</v>
      </c>
      <c r="H100" s="46"/>
      <c r="I100" s="47">
        <f>SUM(J9:J99)</f>
        <v>0</v>
      </c>
      <c r="J100" s="48"/>
    </row>
  </sheetData>
  <mergeCells count="15">
    <mergeCell ref="A100:F100"/>
    <mergeCell ref="G100:H100"/>
    <mergeCell ref="I100:J100"/>
    <mergeCell ref="A2:J2"/>
    <mergeCell ref="A3:J3"/>
    <mergeCell ref="A4:J4"/>
    <mergeCell ref="A5:J5"/>
    <mergeCell ref="A7:A8"/>
    <mergeCell ref="B7:B8"/>
    <mergeCell ref="C7:C8"/>
    <mergeCell ref="D7:D8"/>
    <mergeCell ref="E7:E8"/>
    <mergeCell ref="F7:F8"/>
    <mergeCell ref="G7:H7"/>
    <mergeCell ref="I7:J7"/>
  </mergeCells>
  <conditionalFormatting sqref="C9:C99">
    <cfRule type="cellIs" dxfId="2" priority="1" operator="lessThan">
      <formula>1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</vt:i4>
      </vt:variant>
    </vt:vector>
  </HeadingPairs>
  <TitlesOfParts>
    <vt:vector size="13" baseType="lpstr">
      <vt:lpstr>Outubro2015</vt:lpstr>
      <vt:lpstr>Novembro2015</vt:lpstr>
      <vt:lpstr>Dezembro2015</vt:lpstr>
      <vt:lpstr>Janeiro2016</vt:lpstr>
      <vt:lpstr>Fevereiro2016</vt:lpstr>
      <vt:lpstr>Maio2016</vt:lpstr>
      <vt:lpstr>Junho2016</vt:lpstr>
      <vt:lpstr>Agosto2016</vt:lpstr>
      <vt:lpstr>Setembro2016</vt:lpstr>
      <vt:lpstr>Outubro2016</vt:lpstr>
      <vt:lpstr>Novembro2016</vt:lpstr>
      <vt:lpstr>CRAS</vt:lpstr>
      <vt:lpstr>CRAS!Area_de_impressao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leticia</cp:lastModifiedBy>
  <cp:lastPrinted>2017-10-06T14:50:44Z</cp:lastPrinted>
  <dcterms:created xsi:type="dcterms:W3CDTF">2015-09-24T17:58:05Z</dcterms:created>
  <dcterms:modified xsi:type="dcterms:W3CDTF">2017-10-06T14:50:49Z</dcterms:modified>
</cp:coreProperties>
</file>